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WORK\2025\1. Dinh muc KTKT\11. Bo Don gia\7. Quang Ngai\2. DON GIA DO DAC- CAP GIAY- Quang Ngai 25.6\"/>
    </mc:Choice>
  </mc:AlternateContent>
  <bookViews>
    <workbookView xWindow="-120" yWindow="-120" windowWidth="29040" windowHeight="15720" tabRatio="819" firstSheet="1" activeTab="9"/>
  </bookViews>
  <sheets>
    <sheet name="SGV" sheetId="54" state="veryHidden" r:id="rId1"/>
    <sheet name="Gia_Dcu-Tbi-Vlieu" sheetId="46" r:id="rId2"/>
    <sheet name="Chung-thu" sheetId="55" r:id="rId3"/>
    <sheet name="L_CBac" sheetId="26" r:id="rId4"/>
    <sheet name="L_CViec" sheetId="39" r:id="rId5"/>
    <sheet name="NCong" sheetId="40" r:id="rId6"/>
    <sheet name="Dcu" sheetId="21" r:id="rId7"/>
    <sheet name="Tbi" sheetId="22" r:id="rId8"/>
    <sheet name="VLieu" sheetId="45" r:id="rId9"/>
    <sheet name="DGSP_ChiTiet" sheetId="17" r:id="rId10"/>
    <sheet name="DGSP_RutGon" sheetId="48" r:id="rId11"/>
  </sheets>
  <externalReferences>
    <externalReference r:id="rId12"/>
  </externalReferences>
  <definedNames>
    <definedName name="_Fill" hidden="1">#REF!</definedName>
    <definedName name="G0.7_Total">#REF!</definedName>
    <definedName name="HHTON">#REF!</definedName>
    <definedName name="_xlnm.Print_Area" localSheetId="9">DGSP_ChiTiet!$A$1:$Q$737</definedName>
    <definedName name="_xlnm.Print_Area" localSheetId="10">DGSP_RutGon!$A$1:$N$61</definedName>
    <definedName name="_xlnm.Print_Area" localSheetId="5">NCong!$A$1:$P$634</definedName>
    <definedName name="_xlnm.Print_Area" localSheetId="7">Tbi!$A$1:$I$175</definedName>
    <definedName name="_xlnm.Print_Area" localSheetId="8">VLieu!$A$1:$J$29</definedName>
    <definedName name="_xlnm.Print_Titles" localSheetId="9">DGSP_ChiTiet!$A:$D,DGSP_ChiTiet!$4:$6</definedName>
    <definedName name="_xlnm.Print_Titles" localSheetId="10">DGSP_RutGon!$A:$D,DGSP_RutGon!$4:$6</definedName>
    <definedName name="_xlnm.Print_Titles" localSheetId="3">L_CBac!$3:$6</definedName>
    <definedName name="_xlnm.Print_Titles" localSheetId="5">NCong!$A:$F</definedName>
    <definedName name="_xlnm.Print_Titles" localSheetId="7">Tbi!$3:$3</definedName>
    <definedName name="TG">#REF!</definedName>
  </definedNames>
  <calcPr calcId="181029"/>
</workbook>
</file>

<file path=xl/calcChain.xml><?xml version="1.0" encoding="utf-8"?>
<calcChain xmlns="http://schemas.openxmlformats.org/spreadsheetml/2006/main">
  <c r="D65" i="46" l="1"/>
  <c r="D64" i="46"/>
  <c r="D63" i="46"/>
  <c r="D62" i="46"/>
  <c r="D61" i="46"/>
  <c r="D60" i="46"/>
  <c r="D59" i="46"/>
  <c r="D58" i="46"/>
  <c r="D57" i="46"/>
  <c r="D55" i="46"/>
  <c r="D56" i="46"/>
  <c r="D54" i="46"/>
  <c r="D53" i="46"/>
  <c r="D52" i="46"/>
  <c r="D51" i="46"/>
  <c r="D50" i="46"/>
  <c r="D49" i="46"/>
  <c r="D48" i="46"/>
  <c r="D46" i="46"/>
  <c r="D45" i="46"/>
  <c r="D44" i="46"/>
  <c r="D43" i="46"/>
  <c r="D42" i="46"/>
  <c r="D41" i="46"/>
  <c r="D40" i="46"/>
  <c r="F35" i="46"/>
  <c r="F34" i="46"/>
  <c r="F33" i="46"/>
  <c r="F32" i="46"/>
  <c r="F31" i="46"/>
  <c r="F30" i="46"/>
  <c r="F29" i="46"/>
  <c r="F28" i="46"/>
  <c r="F27" i="46"/>
  <c r="F26" i="46"/>
  <c r="E20" i="46"/>
  <c r="E19" i="46"/>
  <c r="E18" i="46"/>
  <c r="E17" i="46"/>
  <c r="E16" i="46"/>
  <c r="E15" i="46"/>
  <c r="E14" i="46"/>
  <c r="E13" i="46"/>
  <c r="E12" i="46"/>
  <c r="E11" i="46"/>
  <c r="E10" i="46"/>
  <c r="E9" i="46"/>
  <c r="E8" i="46"/>
  <c r="E7" i="46"/>
  <c r="E6" i="46"/>
  <c r="E5" i="46"/>
  <c r="F737" i="48" l="1"/>
  <c r="A737" i="48"/>
  <c r="F736" i="48"/>
  <c r="E736" i="48"/>
  <c r="A736" i="48"/>
  <c r="F735" i="48"/>
  <c r="A735" i="48"/>
  <c r="L734" i="48"/>
  <c r="M734" i="48" s="1"/>
  <c r="K734" i="48"/>
  <c r="B734" i="48"/>
  <c r="A734" i="48"/>
  <c r="B733" i="48"/>
  <c r="E732" i="48"/>
  <c r="E737" i="48" s="1"/>
  <c r="B732" i="48"/>
  <c r="E731" i="48"/>
  <c r="E727" i="48" s="1"/>
  <c r="E730" i="48"/>
  <c r="E729" i="48"/>
  <c r="E722" i="48"/>
  <c r="E720" i="48"/>
  <c r="E718" i="48"/>
  <c r="E717" i="48"/>
  <c r="E721" i="48" s="1"/>
  <c r="E716" i="48"/>
  <c r="E713" i="48"/>
  <c r="E709" i="48"/>
  <c r="E708" i="48"/>
  <c r="E707" i="48"/>
  <c r="E704" i="48"/>
  <c r="E700" i="48"/>
  <c r="E699" i="48"/>
  <c r="E703" i="48" s="1"/>
  <c r="E698" i="48"/>
  <c r="E695" i="48"/>
  <c r="E694" i="48"/>
  <c r="E691" i="48"/>
  <c r="E690" i="48"/>
  <c r="E689" i="48"/>
  <c r="E686" i="48"/>
  <c r="E682" i="48"/>
  <c r="E681" i="48"/>
  <c r="E685" i="48" s="1"/>
  <c r="E680" i="48"/>
  <c r="E684" i="48" s="1"/>
  <c r="E673" i="48"/>
  <c r="E677" i="48" s="1"/>
  <c r="E672" i="48"/>
  <c r="E671" i="48"/>
  <c r="E667" i="48"/>
  <c r="E664" i="48"/>
  <c r="E663" i="48"/>
  <c r="E662" i="48"/>
  <c r="E658" i="48"/>
  <c r="E655" i="48"/>
  <c r="E654" i="48"/>
  <c r="E653" i="48"/>
  <c r="E649" i="48"/>
  <c r="E646" i="48"/>
  <c r="E645" i="48"/>
  <c r="E644" i="48"/>
  <c r="E637" i="48"/>
  <c r="E636" i="48"/>
  <c r="E635" i="48"/>
  <c r="E628" i="48"/>
  <c r="E627" i="48"/>
  <c r="E626" i="48"/>
  <c r="E623" i="48"/>
  <c r="E622" i="48"/>
  <c r="E619" i="48"/>
  <c r="E618" i="48"/>
  <c r="E617" i="48"/>
  <c r="E621" i="48" s="1"/>
  <c r="E613" i="48"/>
  <c r="E610" i="48"/>
  <c r="E614" i="48" s="1"/>
  <c r="E609" i="48"/>
  <c r="E608" i="48"/>
  <c r="E612" i="48" s="1"/>
  <c r="E601" i="48"/>
  <c r="E605" i="48" s="1"/>
  <c r="E600" i="48"/>
  <c r="E604" i="48" s="1"/>
  <c r="E599" i="48"/>
  <c r="E603" i="48" s="1"/>
  <c r="E592" i="48"/>
  <c r="E596" i="48" s="1"/>
  <c r="E591" i="48"/>
  <c r="E595" i="48" s="1"/>
  <c r="E590" i="48"/>
  <c r="E594" i="48" s="1"/>
  <c r="E583" i="48"/>
  <c r="E587" i="48" s="1"/>
  <c r="E582" i="48"/>
  <c r="E586" i="48" s="1"/>
  <c r="E581" i="48"/>
  <c r="E585" i="48" s="1"/>
  <c r="E574" i="48"/>
  <c r="E578" i="48" s="1"/>
  <c r="E573" i="48"/>
  <c r="E577" i="48" s="1"/>
  <c r="E572" i="48"/>
  <c r="E576" i="48" s="1"/>
  <c r="E565" i="48"/>
  <c r="E569" i="48" s="1"/>
  <c r="E564" i="48"/>
  <c r="E568" i="48" s="1"/>
  <c r="E563" i="48"/>
  <c r="E567" i="48" s="1"/>
  <c r="E560" i="48"/>
  <c r="E559" i="48"/>
  <c r="E555" i="48" s="1"/>
  <c r="E558" i="48"/>
  <c r="E556" i="48"/>
  <c r="E554" i="48"/>
  <c r="E551" i="48"/>
  <c r="E550" i="48"/>
  <c r="E549" i="48"/>
  <c r="J548" i="48"/>
  <c r="I548" i="48"/>
  <c r="H548" i="48"/>
  <c r="G548" i="48"/>
  <c r="E547" i="48"/>
  <c r="E546" i="48"/>
  <c r="E545" i="48"/>
  <c r="E538" i="48"/>
  <c r="E542" i="48" s="1"/>
  <c r="E537" i="48"/>
  <c r="E541" i="48" s="1"/>
  <c r="E536" i="48"/>
  <c r="E540" i="48" s="1"/>
  <c r="E529" i="48"/>
  <c r="E533" i="48" s="1"/>
  <c r="E528" i="48"/>
  <c r="E532" i="48" s="1"/>
  <c r="E527" i="48"/>
  <c r="E531" i="48" s="1"/>
  <c r="E520" i="48"/>
  <c r="E524" i="48" s="1"/>
  <c r="E519" i="48"/>
  <c r="E523" i="48" s="1"/>
  <c r="E518" i="48"/>
  <c r="E522" i="48" s="1"/>
  <c r="E511" i="48"/>
  <c r="E515" i="48" s="1"/>
  <c r="E510" i="48"/>
  <c r="E514" i="48" s="1"/>
  <c r="E509" i="48"/>
  <c r="E513" i="48" s="1"/>
  <c r="E505" i="48"/>
  <c r="D505" i="48"/>
  <c r="B505" i="48"/>
  <c r="A505" i="48"/>
  <c r="E504" i="48"/>
  <c r="D504" i="48"/>
  <c r="B504" i="48"/>
  <c r="A504" i="48"/>
  <c r="E499" i="48"/>
  <c r="E503" i="48" s="1"/>
  <c r="E498" i="48"/>
  <c r="E502" i="48" s="1"/>
  <c r="E497" i="48"/>
  <c r="E501" i="48" s="1"/>
  <c r="B495" i="48"/>
  <c r="E494" i="48"/>
  <c r="K494" i="48" s="1"/>
  <c r="D494" i="48"/>
  <c r="B494" i="48"/>
  <c r="A494" i="48"/>
  <c r="E493" i="48"/>
  <c r="D493" i="48"/>
  <c r="B493" i="48"/>
  <c r="A493" i="48"/>
  <c r="F492" i="48"/>
  <c r="E492" i="48"/>
  <c r="E491" i="48"/>
  <c r="E490" i="48"/>
  <c r="E489" i="48"/>
  <c r="E486" i="48"/>
  <c r="E485" i="48"/>
  <c r="E482" i="48"/>
  <c r="E481" i="48"/>
  <c r="E480" i="48"/>
  <c r="E476" i="48"/>
  <c r="E473" i="48"/>
  <c r="E472" i="48"/>
  <c r="E469" i="48"/>
  <c r="E468" i="48"/>
  <c r="E467" i="48"/>
  <c r="E464" i="48"/>
  <c r="E463" i="48"/>
  <c r="E460" i="48"/>
  <c r="E459" i="48"/>
  <c r="E458" i="48"/>
  <c r="E462" i="48" s="1"/>
  <c r="E453" i="48"/>
  <c r="E451" i="48"/>
  <c r="E455" i="48" s="1"/>
  <c r="E450" i="48"/>
  <c r="E449" i="48"/>
  <c r="E446" i="48"/>
  <c r="E445" i="48"/>
  <c r="E442" i="48"/>
  <c r="E441" i="48"/>
  <c r="E440" i="48"/>
  <c r="E435" i="48"/>
  <c r="E433" i="48"/>
  <c r="E432" i="48"/>
  <c r="E431" i="48"/>
  <c r="E428" i="48"/>
  <c r="E427" i="48"/>
  <c r="E424" i="48"/>
  <c r="E423" i="48"/>
  <c r="E422" i="48"/>
  <c r="E417" i="48"/>
  <c r="E415" i="48"/>
  <c r="E414" i="48"/>
  <c r="E413" i="48"/>
  <c r="E410" i="48"/>
  <c r="E406" i="48"/>
  <c r="E405" i="48"/>
  <c r="E404" i="48"/>
  <c r="E399" i="48"/>
  <c r="E397" i="48"/>
  <c r="E396" i="48"/>
  <c r="E395" i="48"/>
  <c r="E390" i="48"/>
  <c r="E388" i="48"/>
  <c r="E392" i="48" s="1"/>
  <c r="E387" i="48"/>
  <c r="E391" i="48" s="1"/>
  <c r="E386" i="48"/>
  <c r="E379" i="48"/>
  <c r="E383" i="48" s="1"/>
  <c r="E378" i="48"/>
  <c r="E382" i="48" s="1"/>
  <c r="E377" i="48"/>
  <c r="E381" i="48" s="1"/>
  <c r="E374" i="48"/>
  <c r="E372" i="48"/>
  <c r="E369" i="48"/>
  <c r="E368" i="48"/>
  <c r="E373" i="48" s="1"/>
  <c r="E367" i="48"/>
  <c r="E365" i="48"/>
  <c r="E363" i="48"/>
  <c r="E361" i="48"/>
  <c r="E360" i="48"/>
  <c r="E359" i="48"/>
  <c r="E356" i="48"/>
  <c r="E352" i="48"/>
  <c r="E351" i="48"/>
  <c r="E355" i="48" s="1"/>
  <c r="E350" i="48"/>
  <c r="E354" i="48" s="1"/>
  <c r="E347" i="48"/>
  <c r="E346" i="48"/>
  <c r="E345" i="48"/>
  <c r="E343" i="48"/>
  <c r="E342" i="48"/>
  <c r="E341" i="48"/>
  <c r="E338" i="48"/>
  <c r="E337" i="48"/>
  <c r="E336" i="48"/>
  <c r="E334" i="48"/>
  <c r="E333" i="48"/>
  <c r="E332" i="48"/>
  <c r="E325" i="48"/>
  <c r="E329" i="48" s="1"/>
  <c r="E324" i="48"/>
  <c r="E328" i="48" s="1"/>
  <c r="E323" i="48"/>
  <c r="E327" i="48" s="1"/>
  <c r="E316" i="48"/>
  <c r="E320" i="48" s="1"/>
  <c r="E315" i="48"/>
  <c r="E319" i="48" s="1"/>
  <c r="E314" i="48"/>
  <c r="E318" i="48" s="1"/>
  <c r="E307" i="48"/>
  <c r="E311" i="48" s="1"/>
  <c r="E306" i="48"/>
  <c r="E310" i="48" s="1"/>
  <c r="E305" i="48"/>
  <c r="E309" i="48" s="1"/>
  <c r="E298" i="48"/>
  <c r="E302" i="48" s="1"/>
  <c r="E297" i="48"/>
  <c r="E301" i="48" s="1"/>
  <c r="E296" i="48"/>
  <c r="E300" i="48" s="1"/>
  <c r="E293" i="48"/>
  <c r="E292" i="48"/>
  <c r="E291" i="48"/>
  <c r="E289" i="48"/>
  <c r="E288" i="48"/>
  <c r="E287" i="48"/>
  <c r="E284" i="48"/>
  <c r="E283" i="48"/>
  <c r="E282" i="48"/>
  <c r="E280" i="48"/>
  <c r="E279" i="48"/>
  <c r="E278" i="48"/>
  <c r="E271" i="48"/>
  <c r="E275" i="48" s="1"/>
  <c r="E270" i="48"/>
  <c r="E274" i="48" s="1"/>
  <c r="E269" i="48"/>
  <c r="E273" i="48" s="1"/>
  <c r="E262" i="48"/>
  <c r="E266" i="48" s="1"/>
  <c r="E261" i="48"/>
  <c r="E265" i="48" s="1"/>
  <c r="E260" i="48"/>
  <c r="E264" i="48" s="1"/>
  <c r="E257" i="48"/>
  <c r="E256" i="48"/>
  <c r="E255" i="48"/>
  <c r="E253" i="48"/>
  <c r="E252" i="48"/>
  <c r="E251" i="48"/>
  <c r="E248" i="48"/>
  <c r="E247" i="48"/>
  <c r="E246" i="48"/>
  <c r="E244" i="48"/>
  <c r="E243" i="48"/>
  <c r="E242" i="48"/>
  <c r="E234" i="48"/>
  <c r="E238" i="48" s="1"/>
  <c r="E233" i="48"/>
  <c r="E237" i="48" s="1"/>
  <c r="F232" i="48"/>
  <c r="E232" i="48"/>
  <c r="E236" i="48" s="1"/>
  <c r="B230" i="48"/>
  <c r="A230" i="48"/>
  <c r="E229" i="48"/>
  <c r="B229" i="48"/>
  <c r="A229" i="48"/>
  <c r="E228" i="48"/>
  <c r="B228" i="48"/>
  <c r="A228" i="48"/>
  <c r="E227" i="48"/>
  <c r="E226" i="48"/>
  <c r="E225" i="48"/>
  <c r="E223" i="48"/>
  <c r="E222" i="48"/>
  <c r="F221" i="48"/>
  <c r="F222" i="48" s="1"/>
  <c r="B219" i="48"/>
  <c r="E218" i="48"/>
  <c r="E208" i="48" s="1"/>
  <c r="E217" i="48"/>
  <c r="B217" i="48"/>
  <c r="A217" i="48"/>
  <c r="F216" i="48"/>
  <c r="E216" i="48"/>
  <c r="E215" i="48"/>
  <c r="E214" i="48"/>
  <c r="E213" i="48"/>
  <c r="E211" i="48"/>
  <c r="E210" i="48"/>
  <c r="E209" i="48"/>
  <c r="F208" i="48"/>
  <c r="B206" i="48"/>
  <c r="A206" i="48"/>
  <c r="E205" i="48"/>
  <c r="D205" i="48"/>
  <c r="B205" i="48"/>
  <c r="A205" i="48"/>
  <c r="L204" i="48"/>
  <c r="M204" i="48" s="1"/>
  <c r="K204" i="48"/>
  <c r="E204" i="48"/>
  <c r="C204" i="48"/>
  <c r="B204" i="48"/>
  <c r="A204" i="48"/>
  <c r="K203" i="48"/>
  <c r="E203" i="48"/>
  <c r="C203" i="48"/>
  <c r="B203" i="48"/>
  <c r="A203" i="48"/>
  <c r="E202" i="48"/>
  <c r="K202" i="48" s="1"/>
  <c r="C202" i="48"/>
  <c r="B202" i="48"/>
  <c r="A202" i="48"/>
  <c r="K201" i="48"/>
  <c r="E201" i="48"/>
  <c r="C201" i="48"/>
  <c r="B201" i="48"/>
  <c r="A201" i="48"/>
  <c r="K200" i="48"/>
  <c r="E200" i="48"/>
  <c r="C200" i="48"/>
  <c r="B200" i="48"/>
  <c r="A200" i="48"/>
  <c r="E199" i="48"/>
  <c r="D199" i="48"/>
  <c r="C199" i="48"/>
  <c r="B199" i="48"/>
  <c r="A199" i="48"/>
  <c r="M198" i="48"/>
  <c r="E198" i="48"/>
  <c r="K198" i="48" s="1"/>
  <c r="L198" i="48" s="1"/>
  <c r="D198" i="48"/>
  <c r="C198" i="48"/>
  <c r="B198" i="48"/>
  <c r="A198" i="48"/>
  <c r="K197" i="48"/>
  <c r="E197" i="48"/>
  <c r="D197" i="48"/>
  <c r="C197" i="48"/>
  <c r="B197" i="48"/>
  <c r="A197" i="48"/>
  <c r="K196" i="48"/>
  <c r="E196" i="48"/>
  <c r="D196" i="48"/>
  <c r="C196" i="48"/>
  <c r="B196" i="48"/>
  <c r="A196" i="48"/>
  <c r="F195" i="48"/>
  <c r="E195" i="48"/>
  <c r="D195" i="48"/>
  <c r="F194" i="48"/>
  <c r="E194" i="48"/>
  <c r="D194" i="48"/>
  <c r="F193" i="48"/>
  <c r="E193" i="48"/>
  <c r="D193" i="48"/>
  <c r="B193" i="48"/>
  <c r="A193" i="48"/>
  <c r="F184" i="48"/>
  <c r="F182" i="48"/>
  <c r="E182" i="48"/>
  <c r="F181" i="48"/>
  <c r="E181" i="48"/>
  <c r="F180" i="48"/>
  <c r="E180" i="48"/>
  <c r="E177" i="48"/>
  <c r="E176" i="48"/>
  <c r="F174" i="48"/>
  <c r="F173" i="48"/>
  <c r="F176" i="48" s="1"/>
  <c r="E173" i="48"/>
  <c r="F172" i="48"/>
  <c r="E172" i="48"/>
  <c r="F171" i="48"/>
  <c r="F177" i="48" s="1"/>
  <c r="E171" i="48"/>
  <c r="E158" i="48"/>
  <c r="E159" i="48" s="1"/>
  <c r="E157" i="48"/>
  <c r="F155" i="48"/>
  <c r="E150" i="48"/>
  <c r="E156" i="48" s="1"/>
  <c r="F149" i="48"/>
  <c r="E149" i="48"/>
  <c r="E155" i="48" s="1"/>
  <c r="F148" i="48"/>
  <c r="E148" i="48"/>
  <c r="E151" i="48" s="1"/>
  <c r="B146" i="48"/>
  <c r="E145" i="48"/>
  <c r="B145" i="48"/>
  <c r="A145" i="48"/>
  <c r="K144" i="48"/>
  <c r="L144" i="48" s="1"/>
  <c r="M144" i="48" s="1"/>
  <c r="L143" i="48"/>
  <c r="K143" i="48"/>
  <c r="M142" i="48"/>
  <c r="L142" i="48"/>
  <c r="K142" i="48"/>
  <c r="F141" i="48"/>
  <c r="E141" i="48"/>
  <c r="D141" i="48"/>
  <c r="F140" i="48"/>
  <c r="E140" i="48"/>
  <c r="D140" i="48"/>
  <c r="F139" i="48"/>
  <c r="E139" i="48"/>
  <c r="D139" i="48"/>
  <c r="B139" i="48"/>
  <c r="A139" i="48"/>
  <c r="E136" i="48"/>
  <c r="E137" i="48" s="1"/>
  <c r="E133" i="48"/>
  <c r="E135" i="48" s="1"/>
  <c r="F131" i="48"/>
  <c r="E131" i="48"/>
  <c r="F130" i="48"/>
  <c r="E130" i="48"/>
  <c r="F129" i="48"/>
  <c r="E129" i="48"/>
  <c r="E128" i="48"/>
  <c r="F127" i="48"/>
  <c r="E127" i="48"/>
  <c r="E126" i="48"/>
  <c r="F124" i="48"/>
  <c r="E124" i="48"/>
  <c r="E123" i="48"/>
  <c r="E122" i="48"/>
  <c r="F121" i="48"/>
  <c r="E121" i="48"/>
  <c r="F120" i="48"/>
  <c r="E120" i="48"/>
  <c r="F119" i="48"/>
  <c r="E119" i="48"/>
  <c r="F117" i="48"/>
  <c r="E117" i="48"/>
  <c r="F116" i="48"/>
  <c r="F123" i="48" s="1"/>
  <c r="E116" i="48"/>
  <c r="F115" i="48"/>
  <c r="F122" i="48" s="1"/>
  <c r="E115" i="48"/>
  <c r="E114" i="48"/>
  <c r="F113" i="48"/>
  <c r="E113" i="48"/>
  <c r="F112" i="48"/>
  <c r="E112" i="48"/>
  <c r="B110" i="48"/>
  <c r="K109" i="48"/>
  <c r="E109" i="48"/>
  <c r="B109" i="48"/>
  <c r="A109" i="48"/>
  <c r="F108" i="48"/>
  <c r="F63" i="48" s="1"/>
  <c r="E108" i="48"/>
  <c r="F107" i="48"/>
  <c r="E107" i="48"/>
  <c r="E62" i="48" s="1"/>
  <c r="F106" i="48"/>
  <c r="E106" i="48"/>
  <c r="B106" i="48"/>
  <c r="A106" i="48"/>
  <c r="F105" i="48"/>
  <c r="E105" i="48"/>
  <c r="F104" i="48"/>
  <c r="E104" i="48"/>
  <c r="E103" i="48"/>
  <c r="E102" i="48"/>
  <c r="E101" i="48"/>
  <c r="E100" i="48"/>
  <c r="F98" i="48"/>
  <c r="E98" i="48"/>
  <c r="F97" i="48"/>
  <c r="E97" i="48"/>
  <c r="F96" i="48"/>
  <c r="F103" i="48" s="1"/>
  <c r="E96" i="48"/>
  <c r="F95" i="48"/>
  <c r="F102" i="48" s="1"/>
  <c r="E95" i="48"/>
  <c r="F94" i="48"/>
  <c r="F101" i="48" s="1"/>
  <c r="E94" i="48"/>
  <c r="F93" i="48"/>
  <c r="F100" i="48" s="1"/>
  <c r="E93" i="48"/>
  <c r="F90" i="48"/>
  <c r="E90" i="48"/>
  <c r="E89" i="48"/>
  <c r="E88" i="48"/>
  <c r="E87" i="48"/>
  <c r="E86" i="48"/>
  <c r="E85" i="48"/>
  <c r="F83" i="48"/>
  <c r="E83" i="48"/>
  <c r="F82" i="48"/>
  <c r="E82" i="48"/>
  <c r="F81" i="48"/>
  <c r="E81" i="48"/>
  <c r="E80" i="48"/>
  <c r="E79" i="48"/>
  <c r="E78" i="48"/>
  <c r="E76" i="48"/>
  <c r="E75" i="48"/>
  <c r="E74" i="48"/>
  <c r="F73" i="48"/>
  <c r="E73" i="48"/>
  <c r="F72" i="48"/>
  <c r="E72" i="48"/>
  <c r="F71" i="48"/>
  <c r="E71" i="48"/>
  <c r="F70" i="48"/>
  <c r="E70" i="48"/>
  <c r="F69" i="48"/>
  <c r="E69" i="48"/>
  <c r="F68" i="48"/>
  <c r="E68" i="48"/>
  <c r="F66" i="48"/>
  <c r="E66" i="48"/>
  <c r="F65" i="48"/>
  <c r="F89" i="48" s="1"/>
  <c r="E65" i="48"/>
  <c r="F64" i="48"/>
  <c r="F88" i="48" s="1"/>
  <c r="E64" i="48"/>
  <c r="E63" i="48"/>
  <c r="F62" i="48"/>
  <c r="F86" i="48" s="1"/>
  <c r="F61" i="48"/>
  <c r="F74" i="48" s="1"/>
  <c r="B58" i="48"/>
  <c r="A58" i="48"/>
  <c r="E57" i="48"/>
  <c r="B57" i="48"/>
  <c r="A57" i="48"/>
  <c r="F56" i="48"/>
  <c r="E56" i="48"/>
  <c r="F55" i="48"/>
  <c r="E55" i="48"/>
  <c r="F54" i="48"/>
  <c r="E54" i="48"/>
  <c r="B54" i="48"/>
  <c r="A54" i="48"/>
  <c r="F53" i="48"/>
  <c r="E53" i="48"/>
  <c r="E50" i="48"/>
  <c r="E49" i="48"/>
  <c r="F48" i="48"/>
  <c r="F51" i="48" s="1"/>
  <c r="E48" i="48"/>
  <c r="E51" i="48" s="1"/>
  <c r="F46" i="48"/>
  <c r="F43" i="48"/>
  <c r="F50" i="48" s="1"/>
  <c r="E43" i="48"/>
  <c r="F42" i="48"/>
  <c r="F49" i="48" s="1"/>
  <c r="F52" i="48" s="1"/>
  <c r="E42" i="48"/>
  <c r="E45" i="48" s="1"/>
  <c r="F41" i="48"/>
  <c r="F44" i="48" s="1"/>
  <c r="E41" i="48"/>
  <c r="E44" i="48" s="1"/>
  <c r="E39" i="48"/>
  <c r="E38" i="48"/>
  <c r="E37" i="48"/>
  <c r="E33" i="48"/>
  <c r="E32" i="48"/>
  <c r="F31" i="48"/>
  <c r="E31" i="48"/>
  <c r="E30" i="48"/>
  <c r="F29" i="48"/>
  <c r="E28" i="48"/>
  <c r="E27" i="48"/>
  <c r="F26" i="48"/>
  <c r="E26" i="48"/>
  <c r="F25" i="48"/>
  <c r="F28" i="48" s="1"/>
  <c r="E25" i="48"/>
  <c r="E23" i="48"/>
  <c r="E22" i="48"/>
  <c r="E21" i="48"/>
  <c r="E20" i="48"/>
  <c r="F19" i="48"/>
  <c r="E19" i="48"/>
  <c r="E35" i="48" s="1"/>
  <c r="E18" i="48"/>
  <c r="F17" i="48"/>
  <c r="F33" i="48" s="1"/>
  <c r="E17" i="48"/>
  <c r="F16" i="48"/>
  <c r="F32" i="48" s="1"/>
  <c r="E16" i="48"/>
  <c r="F15" i="48"/>
  <c r="E15" i="48"/>
  <c r="E14" i="48"/>
  <c r="F13" i="48"/>
  <c r="E13" i="48"/>
  <c r="F12" i="48"/>
  <c r="E11" i="48"/>
  <c r="F10" i="48"/>
  <c r="E10" i="48"/>
  <c r="F9" i="48"/>
  <c r="F18" i="48" s="1"/>
  <c r="E9" i="48"/>
  <c r="E12" i="48" s="1"/>
  <c r="B7" i="48"/>
  <c r="Q6" i="48"/>
  <c r="D83" i="45"/>
  <c r="H83" i="45" s="1"/>
  <c r="D64" i="45"/>
  <c r="J64" i="45" s="1"/>
  <c r="D61" i="45"/>
  <c r="J61" i="45" s="1"/>
  <c r="D41" i="45"/>
  <c r="I41" i="45" s="1"/>
  <c r="D44" i="45"/>
  <c r="I44" i="45" s="1"/>
  <c r="N618" i="40"/>
  <c r="F618" i="40"/>
  <c r="F617" i="40"/>
  <c r="F616" i="40"/>
  <c r="F615" i="40"/>
  <c r="F614" i="40"/>
  <c r="F613" i="40"/>
  <c r="F612" i="40"/>
  <c r="F611" i="40"/>
  <c r="F610" i="40"/>
  <c r="F609" i="40"/>
  <c r="F608" i="40"/>
  <c r="F607" i="40"/>
  <c r="F606" i="40"/>
  <c r="F605" i="40"/>
  <c r="F604" i="40"/>
  <c r="F603" i="40"/>
  <c r="F602" i="40"/>
  <c r="F601" i="40"/>
  <c r="F600" i="40"/>
  <c r="F599" i="40"/>
  <c r="F598" i="40"/>
  <c r="F597" i="40"/>
  <c r="F596" i="40"/>
  <c r="F595" i="40"/>
  <c r="F594" i="40"/>
  <c r="G618" i="40"/>
  <c r="H618" i="40"/>
  <c r="G617" i="40"/>
  <c r="H617" i="40"/>
  <c r="G616" i="40"/>
  <c r="H616" i="40"/>
  <c r="G615" i="40"/>
  <c r="H615" i="40"/>
  <c r="G614" i="40"/>
  <c r="H614" i="40"/>
  <c r="G613" i="40"/>
  <c r="H613" i="40"/>
  <c r="G612" i="40"/>
  <c r="H612" i="40"/>
  <c r="G610" i="40"/>
  <c r="H610" i="40"/>
  <c r="G611" i="40"/>
  <c r="H611" i="40"/>
  <c r="G609" i="40"/>
  <c r="H609" i="40"/>
  <c r="G608" i="40"/>
  <c r="H608" i="40"/>
  <c r="G607" i="40"/>
  <c r="H607" i="40"/>
  <c r="G606" i="40"/>
  <c r="H606" i="40"/>
  <c r="G605" i="40"/>
  <c r="H605" i="40"/>
  <c r="G604" i="40"/>
  <c r="H604" i="40"/>
  <c r="G603" i="40"/>
  <c r="H603" i="40"/>
  <c r="G602" i="40"/>
  <c r="H602" i="40"/>
  <c r="G601" i="40"/>
  <c r="H601" i="40"/>
  <c r="G600" i="40"/>
  <c r="H600" i="40"/>
  <c r="G599" i="40"/>
  <c r="H599" i="40"/>
  <c r="G598" i="40"/>
  <c r="H598" i="40"/>
  <c r="G597" i="40"/>
  <c r="H597" i="40"/>
  <c r="G596" i="40"/>
  <c r="H596" i="40"/>
  <c r="G595" i="40"/>
  <c r="H595" i="40"/>
  <c r="G594" i="40"/>
  <c r="H594" i="40"/>
  <c r="J594" i="40"/>
  <c r="F538" i="40"/>
  <c r="F537" i="40"/>
  <c r="F536" i="40"/>
  <c r="F535" i="40"/>
  <c r="F534" i="40"/>
  <c r="F533" i="40"/>
  <c r="F532" i="40"/>
  <c r="F531" i="40"/>
  <c r="F530" i="40"/>
  <c r="F529" i="40"/>
  <c r="F528" i="40"/>
  <c r="F527" i="40"/>
  <c r="F526" i="40"/>
  <c r="F525" i="40"/>
  <c r="F524" i="40"/>
  <c r="F523" i="40"/>
  <c r="F522" i="40"/>
  <c r="F521" i="40"/>
  <c r="F520" i="40"/>
  <c r="F519" i="40"/>
  <c r="F518" i="40"/>
  <c r="F517" i="40"/>
  <c r="F516" i="40"/>
  <c r="F515" i="40"/>
  <c r="F514" i="40"/>
  <c r="F513" i="40"/>
  <c r="F512" i="40"/>
  <c r="F511" i="40"/>
  <c r="J511" i="40"/>
  <c r="G537" i="40"/>
  <c r="H537" i="40"/>
  <c r="G536" i="40"/>
  <c r="H536" i="40"/>
  <c r="G535" i="40"/>
  <c r="H535" i="40"/>
  <c r="G530" i="40"/>
  <c r="H530" i="40"/>
  <c r="G528" i="40"/>
  <c r="H528" i="40"/>
  <c r="G538" i="40"/>
  <c r="H538" i="40"/>
  <c r="G534" i="40"/>
  <c r="H534" i="40"/>
  <c r="G533" i="40"/>
  <c r="H533" i="40"/>
  <c r="G532" i="40"/>
  <c r="H532" i="40"/>
  <c r="G531" i="40"/>
  <c r="H531" i="40"/>
  <c r="G529" i="40"/>
  <c r="H529" i="40"/>
  <c r="G518" i="40"/>
  <c r="H518" i="40"/>
  <c r="G519" i="40"/>
  <c r="H519" i="40"/>
  <c r="G520" i="40"/>
  <c r="H520" i="40"/>
  <c r="G521" i="40"/>
  <c r="H521" i="40"/>
  <c r="G522" i="40"/>
  <c r="H522" i="40"/>
  <c r="G523" i="40"/>
  <c r="H523" i="40"/>
  <c r="G524" i="40"/>
  <c r="H524" i="40"/>
  <c r="G525" i="40"/>
  <c r="H525" i="40"/>
  <c r="G526" i="40"/>
  <c r="H526" i="40"/>
  <c r="G527" i="40"/>
  <c r="H527" i="40"/>
  <c r="G517" i="40"/>
  <c r="H517" i="40"/>
  <c r="G516" i="40"/>
  <c r="H516" i="40"/>
  <c r="G515" i="40"/>
  <c r="H515" i="40"/>
  <c r="G514" i="40"/>
  <c r="H514" i="40"/>
  <c r="G513" i="40"/>
  <c r="H513" i="40"/>
  <c r="G512" i="40"/>
  <c r="H512" i="40"/>
  <c r="G511" i="40"/>
  <c r="H511" i="40"/>
  <c r="B395" i="40"/>
  <c r="A395" i="40"/>
  <c r="B254" i="40"/>
  <c r="F181" i="17"/>
  <c r="F182" i="17"/>
  <c r="F180" i="17"/>
  <c r="F87" i="48" l="1"/>
  <c r="F80" i="48"/>
  <c r="F76" i="48"/>
  <c r="F21" i="48"/>
  <c r="F37" i="48" s="1"/>
  <c r="F34" i="48"/>
  <c r="E29" i="48"/>
  <c r="M143" i="48"/>
  <c r="F178" i="48"/>
  <c r="F185" i="48"/>
  <c r="F175" i="48"/>
  <c r="E34" i="48"/>
  <c r="F79" i="48"/>
  <c r="E179" i="48"/>
  <c r="E186" i="48"/>
  <c r="F190" i="48"/>
  <c r="F187" i="48"/>
  <c r="L202" i="48"/>
  <c r="M202" i="48" s="1"/>
  <c r="F179" i="48"/>
  <c r="F186" i="48"/>
  <c r="E46" i="48"/>
  <c r="F22" i="48"/>
  <c r="F38" i="48" s="1"/>
  <c r="F35" i="48"/>
  <c r="E36" i="48"/>
  <c r="F152" i="48"/>
  <c r="F162" i="48"/>
  <c r="E61" i="48"/>
  <c r="E152" i="48"/>
  <c r="E162" i="48"/>
  <c r="F11" i="48"/>
  <c r="F126" i="48"/>
  <c r="E52" i="48"/>
  <c r="F45" i="48"/>
  <c r="F75" i="48"/>
  <c r="L109" i="48"/>
  <c r="M109" i="48" s="1"/>
  <c r="L197" i="48"/>
  <c r="M197" i="48" s="1"/>
  <c r="F114" i="48"/>
  <c r="F78" i="48"/>
  <c r="E138" i="48"/>
  <c r="E161" i="48"/>
  <c r="E154" i="48"/>
  <c r="L200" i="48"/>
  <c r="M200" i="48" s="1"/>
  <c r="F151" i="48"/>
  <c r="F161" i="48"/>
  <c r="F154" i="48"/>
  <c r="E178" i="48"/>
  <c r="E175" i="48"/>
  <c r="E185" i="48"/>
  <c r="F85" i="48"/>
  <c r="E184" i="48"/>
  <c r="E174" i="48"/>
  <c r="E153" i="48"/>
  <c r="E163" i="48"/>
  <c r="L201" i="48"/>
  <c r="M201" i="48" s="1"/>
  <c r="F150" i="48"/>
  <c r="L196" i="48"/>
  <c r="M196" i="48" s="1"/>
  <c r="E221" i="48"/>
  <c r="E134" i="48"/>
  <c r="L203" i="48"/>
  <c r="M203" i="48" s="1"/>
  <c r="E364" i="48"/>
  <c r="E401" i="48"/>
  <c r="E419" i="48"/>
  <c r="E478" i="48"/>
  <c r="E408" i="48"/>
  <c r="E437" i="48"/>
  <c r="E426" i="48"/>
  <c r="E444" i="48"/>
  <c r="E631" i="48"/>
  <c r="E409" i="48"/>
  <c r="E454" i="48"/>
  <c r="E487" i="48"/>
  <c r="E400" i="48"/>
  <c r="E418" i="48"/>
  <c r="E436" i="48"/>
  <c r="E477" i="48"/>
  <c r="E471" i="48"/>
  <c r="L494" i="48"/>
  <c r="M494" i="48" s="1"/>
  <c r="E640" i="48"/>
  <c r="E675" i="48"/>
  <c r="E711" i="48"/>
  <c r="E630" i="48"/>
  <c r="E639" i="48"/>
  <c r="E648" i="48"/>
  <c r="E657" i="48"/>
  <c r="E666" i="48"/>
  <c r="E726" i="48"/>
  <c r="E702" i="48"/>
  <c r="E632" i="48"/>
  <c r="E641" i="48"/>
  <c r="E650" i="48"/>
  <c r="E659" i="48"/>
  <c r="E668" i="48"/>
  <c r="E693" i="48"/>
  <c r="E725" i="48"/>
  <c r="E676" i="48"/>
  <c r="E712" i="48"/>
  <c r="E735" i="48"/>
  <c r="J83" i="45"/>
  <c r="F20" i="48" l="1"/>
  <c r="F27" i="48"/>
  <c r="F14" i="48"/>
  <c r="E192" i="48"/>
  <c r="E189" i="48"/>
  <c r="E190" i="48"/>
  <c r="E187" i="48"/>
  <c r="E191" i="48"/>
  <c r="E188" i="48"/>
  <c r="F128" i="48"/>
  <c r="E168" i="48"/>
  <c r="E165" i="48"/>
  <c r="F191" i="48"/>
  <c r="F188" i="48"/>
  <c r="E167" i="48"/>
  <c r="E164" i="48"/>
  <c r="F156" i="48"/>
  <c r="F153" i="48"/>
  <c r="F163" i="48"/>
  <c r="F192" i="48"/>
  <c r="F189" i="48"/>
  <c r="F167" i="48"/>
  <c r="F164" i="48"/>
  <c r="E169" i="48"/>
  <c r="E166" i="48"/>
  <c r="F168" i="48"/>
  <c r="F165" i="48"/>
  <c r="H9" i="26"/>
  <c r="I65" i="26"/>
  <c r="Q6" i="17"/>
  <c r="D66" i="26"/>
  <c r="D67" i="26"/>
  <c r="D68" i="26"/>
  <c r="D63" i="26"/>
  <c r="D64" i="26"/>
  <c r="D62" i="26"/>
  <c r="F166" i="48" l="1"/>
  <c r="F169" i="48"/>
  <c r="F30" i="48"/>
  <c r="F36" i="48"/>
  <c r="F23" i="48"/>
  <c r="G548" i="17"/>
  <c r="H548" i="17"/>
  <c r="I548" i="17"/>
  <c r="J548" i="17"/>
  <c r="K7" i="40"/>
  <c r="K9" i="40"/>
  <c r="K11" i="40"/>
  <c r="F39" i="48" l="1"/>
  <c r="G26" i="46" l="1"/>
  <c r="D109" i="45" l="1"/>
  <c r="I109" i="45" s="1"/>
  <c r="D127" i="45" l="1"/>
  <c r="G32" i="40"/>
  <c r="AC131" i="39"/>
  <c r="J127" i="45" l="1"/>
  <c r="D148" i="45"/>
  <c r="F216" i="17"/>
  <c r="K142" i="17"/>
  <c r="K143" i="17"/>
  <c r="K144" i="17"/>
  <c r="L144" i="17" s="1"/>
  <c r="M144" i="17" s="1"/>
  <c r="L143" i="17" l="1"/>
  <c r="M143" i="17" s="1"/>
  <c r="L142" i="17"/>
  <c r="M142" i="17" s="1"/>
  <c r="I148" i="45"/>
  <c r="D169" i="45"/>
  <c r="J169" i="45" s="1"/>
  <c r="K59" i="26"/>
  <c r="K58" i="26"/>
  <c r="K57" i="26"/>
  <c r="K56" i="26"/>
  <c r="K55" i="26"/>
  <c r="K54" i="26"/>
  <c r="K53" i="26"/>
  <c r="K52" i="26"/>
  <c r="K51" i="26"/>
  <c r="K50" i="26"/>
  <c r="K49" i="26"/>
  <c r="K48" i="26"/>
  <c r="K46" i="26"/>
  <c r="K45" i="26"/>
  <c r="K44" i="26"/>
  <c r="K43" i="26"/>
  <c r="K42" i="26"/>
  <c r="K41" i="26"/>
  <c r="K40" i="26"/>
  <c r="K39" i="26"/>
  <c r="K38" i="26"/>
  <c r="K30" i="26"/>
  <c r="K29" i="26"/>
  <c r="K28" i="26"/>
  <c r="K27" i="26"/>
  <c r="K26" i="26"/>
  <c r="K25" i="26"/>
  <c r="K24" i="26"/>
  <c r="K23" i="26"/>
  <c r="K22" i="26"/>
  <c r="K21" i="26"/>
  <c r="K20" i="26"/>
  <c r="K19" i="26"/>
  <c r="K10" i="26"/>
  <c r="K11" i="26"/>
  <c r="K12" i="26"/>
  <c r="K13" i="26"/>
  <c r="K14" i="26"/>
  <c r="K15" i="26"/>
  <c r="K16" i="26"/>
  <c r="K17" i="26"/>
  <c r="K9" i="26"/>
  <c r="E21" i="46" l="1"/>
  <c r="G94" i="40"/>
  <c r="G95" i="40"/>
  <c r="G96" i="40"/>
  <c r="G97" i="40"/>
  <c r="AC56" i="39"/>
  <c r="B102" i="40" l="1"/>
  <c r="G327" i="40"/>
  <c r="G326" i="40"/>
  <c r="G321" i="40"/>
  <c r="G322" i="40"/>
  <c r="G320" i="40"/>
  <c r="G319" i="40"/>
  <c r="G102" i="40"/>
  <c r="G101" i="40"/>
  <c r="E20" i="22"/>
  <c r="B5" i="40"/>
  <c r="I72" i="26"/>
  <c r="J72" i="26" s="1"/>
  <c r="I73" i="26"/>
  <c r="J73" i="26" s="1"/>
  <c r="I74" i="26"/>
  <c r="J74" i="26" s="1"/>
  <c r="I71" i="26"/>
  <c r="J71" i="26" s="1"/>
  <c r="G35" i="46"/>
  <c r="F78" i="22"/>
  <c r="I32" i="45"/>
  <c r="D53" i="22"/>
  <c r="D54" i="22"/>
  <c r="D55" i="22"/>
  <c r="D56" i="22"/>
  <c r="D57" i="22"/>
  <c r="D58" i="22"/>
  <c r="D52" i="22"/>
  <c r="B53" i="22"/>
  <c r="B54" i="22"/>
  <c r="B55" i="22"/>
  <c r="B56" i="22"/>
  <c r="B57" i="22"/>
  <c r="B58" i="22"/>
  <c r="B52" i="22"/>
  <c r="B7" i="17" l="1"/>
  <c r="E251" i="21"/>
  <c r="F251" i="21" s="1"/>
  <c r="K251" i="21" s="1"/>
  <c r="E250" i="21"/>
  <c r="F250" i="21" s="1"/>
  <c r="E249" i="21"/>
  <c r="E248" i="21"/>
  <c r="F248" i="21" s="1"/>
  <c r="E247" i="21"/>
  <c r="F247" i="21" s="1"/>
  <c r="E246" i="21"/>
  <c r="F246" i="21" s="1"/>
  <c r="K246" i="21" s="1"/>
  <c r="E245" i="21"/>
  <c r="F245" i="21" s="1"/>
  <c r="K245" i="21" s="1"/>
  <c r="E244" i="21"/>
  <c r="F244" i="21" s="1"/>
  <c r="E243" i="21"/>
  <c r="F243" i="21" s="1"/>
  <c r="J243" i="21" s="1"/>
  <c r="E242" i="21"/>
  <c r="F242" i="21" s="1"/>
  <c r="E10" i="21"/>
  <c r="F10" i="21" s="1"/>
  <c r="J10" i="21" s="1"/>
  <c r="E16" i="21"/>
  <c r="F16" i="21" s="1"/>
  <c r="J16" i="21" s="1"/>
  <c r="E15" i="21"/>
  <c r="F15" i="21" s="1"/>
  <c r="E14" i="21"/>
  <c r="F14" i="21" s="1"/>
  <c r="E13" i="21"/>
  <c r="E12" i="21"/>
  <c r="F12" i="21" s="1"/>
  <c r="E11" i="21"/>
  <c r="F11" i="21" s="1"/>
  <c r="E9" i="21"/>
  <c r="F9" i="21" s="1"/>
  <c r="L9" i="21" s="1"/>
  <c r="E8" i="21"/>
  <c r="F8" i="21" s="1"/>
  <c r="E7" i="21"/>
  <c r="F7" i="21" s="1"/>
  <c r="L7" i="21" s="1"/>
  <c r="E6" i="21"/>
  <c r="F6" i="21" s="1"/>
  <c r="J6" i="21" s="1"/>
  <c r="A42" i="21"/>
  <c r="B42" i="21"/>
  <c r="E44" i="21"/>
  <c r="F44" i="21" s="1"/>
  <c r="E45" i="21"/>
  <c r="F45" i="21" s="1"/>
  <c r="J45" i="21" s="1"/>
  <c r="E46" i="21"/>
  <c r="F46" i="21" s="1"/>
  <c r="L46" i="21" s="1"/>
  <c r="E49" i="21"/>
  <c r="F49" i="21" s="1"/>
  <c r="J49" i="21" s="1"/>
  <c r="E50" i="21"/>
  <c r="F50" i="21" s="1"/>
  <c r="E51" i="21"/>
  <c r="F51" i="21" s="1"/>
  <c r="K51" i="21" s="1"/>
  <c r="E52" i="21"/>
  <c r="F52" i="21" s="1"/>
  <c r="K52" i="21" s="1"/>
  <c r="E55" i="21"/>
  <c r="F55" i="21" s="1"/>
  <c r="J55" i="21" s="1"/>
  <c r="E56" i="21"/>
  <c r="F56" i="21" s="1"/>
  <c r="K56" i="21" s="1"/>
  <c r="E57" i="21"/>
  <c r="F57" i="21" s="1"/>
  <c r="E58" i="21"/>
  <c r="F58" i="21" s="1"/>
  <c r="B106" i="40"/>
  <c r="B107" i="40"/>
  <c r="B108" i="40"/>
  <c r="B109" i="40"/>
  <c r="B104" i="40"/>
  <c r="B49" i="40"/>
  <c r="G624" i="40"/>
  <c r="G627" i="40"/>
  <c r="D389" i="40"/>
  <c r="E389" i="40"/>
  <c r="F389" i="40"/>
  <c r="G389" i="40"/>
  <c r="H389" i="40"/>
  <c r="I389" i="40"/>
  <c r="J389" i="40"/>
  <c r="D390" i="40"/>
  <c r="E390" i="40"/>
  <c r="F390" i="40"/>
  <c r="G390" i="40"/>
  <c r="H390" i="40"/>
  <c r="I390" i="40"/>
  <c r="C389" i="40"/>
  <c r="C390" i="40"/>
  <c r="B389" i="40"/>
  <c r="B390" i="40"/>
  <c r="A389" i="40"/>
  <c r="A390" i="40"/>
  <c r="B330" i="40"/>
  <c r="B331" i="40"/>
  <c r="B332" i="40"/>
  <c r="B333" i="40"/>
  <c r="B334" i="40"/>
  <c r="B335" i="40"/>
  <c r="B336" i="40"/>
  <c r="A330" i="40"/>
  <c r="A331" i="40"/>
  <c r="A332" i="40"/>
  <c r="A333" i="40"/>
  <c r="A334" i="40"/>
  <c r="A335" i="40"/>
  <c r="A336" i="40"/>
  <c r="D139" i="17"/>
  <c r="D140" i="17"/>
  <c r="D141" i="17"/>
  <c r="D193" i="17"/>
  <c r="D194" i="17"/>
  <c r="D195" i="17"/>
  <c r="F208" i="17"/>
  <c r="F221" i="17"/>
  <c r="F492" i="17"/>
  <c r="F232" i="17" s="1"/>
  <c r="A734" i="17"/>
  <c r="K734" i="17"/>
  <c r="A735" i="17"/>
  <c r="F735" i="17"/>
  <c r="A736" i="17"/>
  <c r="F736" i="17"/>
  <c r="A737" i="17"/>
  <c r="F737" i="17"/>
  <c r="A5" i="45"/>
  <c r="B5" i="45"/>
  <c r="D6" i="45"/>
  <c r="H6" i="45" s="1"/>
  <c r="D7" i="45"/>
  <c r="D8" i="45"/>
  <c r="H8" i="45" s="1"/>
  <c r="D9" i="45"/>
  <c r="H9" i="45" s="1"/>
  <c r="D10" i="45"/>
  <c r="H10" i="45" s="1"/>
  <c r="D11" i="45"/>
  <c r="J11" i="45" s="1"/>
  <c r="D12" i="45"/>
  <c r="J12" i="45" s="1"/>
  <c r="D13" i="45"/>
  <c r="H13" i="45" s="1"/>
  <c r="D14" i="45"/>
  <c r="H14" i="45" s="1"/>
  <c r="D15" i="45"/>
  <c r="H15" i="45" s="1"/>
  <c r="D16" i="45"/>
  <c r="J16" i="45" s="1"/>
  <c r="D17" i="45"/>
  <c r="J17" i="45" s="1"/>
  <c r="D18" i="45"/>
  <c r="H18" i="45" s="1"/>
  <c r="D19" i="45"/>
  <c r="J19" i="45" s="1"/>
  <c r="D20" i="45"/>
  <c r="H20" i="45" s="1"/>
  <c r="D21" i="45"/>
  <c r="H21" i="45" s="1"/>
  <c r="D22" i="45"/>
  <c r="J22" i="45" s="1"/>
  <c r="H29" i="45"/>
  <c r="I29" i="45"/>
  <c r="J29" i="45"/>
  <c r="A33" i="45"/>
  <c r="B33" i="45"/>
  <c r="D34" i="45"/>
  <c r="L34" i="45" s="1"/>
  <c r="D35" i="45"/>
  <c r="J35" i="45" s="1"/>
  <c r="D36" i="45"/>
  <c r="L36" i="45" s="1"/>
  <c r="D37" i="45"/>
  <c r="L37" i="45" s="1"/>
  <c r="D38" i="45"/>
  <c r="I38" i="45" s="1"/>
  <c r="D39" i="45"/>
  <c r="J39" i="45" s="1"/>
  <c r="D40" i="45"/>
  <c r="K40" i="45" s="1"/>
  <c r="D42" i="45"/>
  <c r="L42" i="45" s="1"/>
  <c r="D43" i="45"/>
  <c r="L43" i="45" s="1"/>
  <c r="D45" i="45"/>
  <c r="I45" i="45" s="1"/>
  <c r="D46" i="45"/>
  <c r="I46" i="45" s="1"/>
  <c r="D47" i="45"/>
  <c r="K47" i="45" s="1"/>
  <c r="D48" i="45"/>
  <c r="L48" i="45" s="1"/>
  <c r="A52" i="45"/>
  <c r="B52" i="45"/>
  <c r="D54" i="45"/>
  <c r="H54" i="45" s="1"/>
  <c r="D55" i="45"/>
  <c r="I55" i="45" s="1"/>
  <c r="D56" i="45"/>
  <c r="J56" i="45" s="1"/>
  <c r="D57" i="45"/>
  <c r="H57" i="45" s="1"/>
  <c r="D58" i="45"/>
  <c r="I58" i="45" s="1"/>
  <c r="D59" i="45"/>
  <c r="D60" i="45"/>
  <c r="H60" i="45" s="1"/>
  <c r="D62" i="45"/>
  <c r="H62" i="45" s="1"/>
  <c r="D63" i="45"/>
  <c r="H63" i="45" s="1"/>
  <c r="D65" i="45"/>
  <c r="H65" i="45" s="1"/>
  <c r="D66" i="45"/>
  <c r="H66" i="45" s="1"/>
  <c r="D67" i="45"/>
  <c r="J67" i="45" s="1"/>
  <c r="D68" i="45"/>
  <c r="H68" i="45" s="1"/>
  <c r="A72" i="45"/>
  <c r="B72" i="45"/>
  <c r="D74" i="45"/>
  <c r="H74" i="45" s="1"/>
  <c r="D75" i="45"/>
  <c r="H75" i="45" s="1"/>
  <c r="D76" i="45"/>
  <c r="I76" i="45" s="1"/>
  <c r="D77" i="45"/>
  <c r="H77" i="45" s="1"/>
  <c r="D78" i="45"/>
  <c r="H78" i="45" s="1"/>
  <c r="D79" i="45"/>
  <c r="I79" i="45" s="1"/>
  <c r="D80" i="45"/>
  <c r="H80" i="45" s="1"/>
  <c r="D81" i="45"/>
  <c r="J81" i="45" s="1"/>
  <c r="D82" i="45"/>
  <c r="H82" i="45" s="1"/>
  <c r="D84" i="45"/>
  <c r="H84" i="45" s="1"/>
  <c r="D85" i="45"/>
  <c r="H85" i="45" s="1"/>
  <c r="D86" i="45"/>
  <c r="I86" i="45" s="1"/>
  <c r="D87" i="45"/>
  <c r="H87" i="45" s="1"/>
  <c r="D88" i="45"/>
  <c r="H88" i="45" s="1"/>
  <c r="D89" i="45"/>
  <c r="I89" i="45" s="1"/>
  <c r="D90" i="45"/>
  <c r="I90" i="45" s="1"/>
  <c r="D91" i="45"/>
  <c r="H91" i="45" s="1"/>
  <c r="A98" i="45"/>
  <c r="B98" i="45"/>
  <c r="D100" i="45"/>
  <c r="H100" i="45" s="1"/>
  <c r="D101" i="45"/>
  <c r="H101" i="45" s="1"/>
  <c r="D102" i="45"/>
  <c r="H102" i="45" s="1"/>
  <c r="D103" i="45"/>
  <c r="H103" i="45" s="1"/>
  <c r="D104" i="45"/>
  <c r="D105" i="45"/>
  <c r="H105" i="45" s="1"/>
  <c r="D106" i="45"/>
  <c r="J106" i="45" s="1"/>
  <c r="D107" i="45"/>
  <c r="H107" i="45" s="1"/>
  <c r="D108" i="45"/>
  <c r="H108" i="45" s="1"/>
  <c r="D110" i="45"/>
  <c r="H110" i="45" s="1"/>
  <c r="D111" i="45"/>
  <c r="J111" i="45" s="1"/>
  <c r="D112" i="45"/>
  <c r="H112" i="45" s="1"/>
  <c r="A116" i="45"/>
  <c r="B116" i="45"/>
  <c r="D118" i="45"/>
  <c r="H118" i="45" s="1"/>
  <c r="D119" i="45"/>
  <c r="I119" i="45" s="1"/>
  <c r="D120" i="45"/>
  <c r="J120" i="45" s="1"/>
  <c r="D121" i="45"/>
  <c r="H121" i="45" s="1"/>
  <c r="D122" i="45"/>
  <c r="I122" i="45" s="1"/>
  <c r="D123" i="45"/>
  <c r="J123" i="45" s="1"/>
  <c r="D124" i="45"/>
  <c r="J124" i="45" s="1"/>
  <c r="D125" i="45"/>
  <c r="J125" i="45" s="1"/>
  <c r="D126" i="45"/>
  <c r="H126" i="45" s="1"/>
  <c r="D128" i="45"/>
  <c r="H128" i="45" s="1"/>
  <c r="D129" i="45"/>
  <c r="H129" i="45" s="1"/>
  <c r="D130" i="45"/>
  <c r="J130" i="45" s="1"/>
  <c r="D131" i="45"/>
  <c r="H131" i="45" s="1"/>
  <c r="A138" i="45"/>
  <c r="B138" i="45"/>
  <c r="D139" i="45"/>
  <c r="K139" i="45" s="1"/>
  <c r="D140" i="45"/>
  <c r="K140" i="45" s="1"/>
  <c r="D141" i="45"/>
  <c r="I141" i="45" s="1"/>
  <c r="D142" i="45"/>
  <c r="L142" i="45" s="1"/>
  <c r="D143" i="45"/>
  <c r="J143" i="45" s="1"/>
  <c r="D144" i="45"/>
  <c r="J144" i="45" s="1"/>
  <c r="D145" i="45"/>
  <c r="D146" i="45"/>
  <c r="I146" i="45" s="1"/>
  <c r="D147" i="45"/>
  <c r="L147" i="45" s="1"/>
  <c r="D149" i="45"/>
  <c r="I149" i="45" s="1"/>
  <c r="D150" i="45"/>
  <c r="K150" i="45" s="1"/>
  <c r="D151" i="45"/>
  <c r="K151" i="45" s="1"/>
  <c r="D152" i="45"/>
  <c r="I152" i="45" s="1"/>
  <c r="A158" i="45"/>
  <c r="B158" i="45"/>
  <c r="D160" i="45"/>
  <c r="H160" i="45" s="1"/>
  <c r="D161" i="45"/>
  <c r="H161" i="45" s="1"/>
  <c r="D162" i="45"/>
  <c r="H162" i="45" s="1"/>
  <c r="D163" i="45"/>
  <c r="H163" i="45" s="1"/>
  <c r="D164" i="45"/>
  <c r="H164" i="45" s="1"/>
  <c r="D165" i="45"/>
  <c r="H165" i="45" s="1"/>
  <c r="D166" i="45"/>
  <c r="H166" i="45" s="1"/>
  <c r="D167" i="45"/>
  <c r="H167" i="45" s="1"/>
  <c r="D168" i="45"/>
  <c r="H168" i="45" s="1"/>
  <c r="D170" i="45"/>
  <c r="H170" i="45" s="1"/>
  <c r="D171" i="45"/>
  <c r="H171" i="45" s="1"/>
  <c r="D172" i="45"/>
  <c r="H172" i="45" s="1"/>
  <c r="D173" i="45"/>
  <c r="H173" i="45" s="1"/>
  <c r="A180" i="45"/>
  <c r="B180" i="45"/>
  <c r="D181" i="45"/>
  <c r="J181" i="45" s="1"/>
  <c r="D182" i="45"/>
  <c r="H182" i="45" s="1"/>
  <c r="D183" i="45"/>
  <c r="H183" i="45" s="1"/>
  <c r="D184" i="45"/>
  <c r="I184" i="45" s="1"/>
  <c r="D185" i="45"/>
  <c r="D186" i="45"/>
  <c r="H186" i="45" s="1"/>
  <c r="A4" i="22"/>
  <c r="B4" i="22"/>
  <c r="E6" i="22"/>
  <c r="F6" i="22"/>
  <c r="E7" i="22"/>
  <c r="F7" i="22"/>
  <c r="E8" i="22"/>
  <c r="F8" i="22"/>
  <c r="E9" i="22"/>
  <c r="F9" i="22"/>
  <c r="E10" i="22"/>
  <c r="F10" i="22"/>
  <c r="E11" i="22"/>
  <c r="F11" i="22"/>
  <c r="F12" i="22"/>
  <c r="E14" i="22"/>
  <c r="F14" i="22"/>
  <c r="E15" i="22"/>
  <c r="F15" i="22"/>
  <c r="E16" i="22"/>
  <c r="F16" i="22"/>
  <c r="E17" i="22"/>
  <c r="F17" i="22"/>
  <c r="E18" i="22"/>
  <c r="F18" i="22"/>
  <c r="E19" i="22"/>
  <c r="F19" i="22"/>
  <c r="F20" i="22"/>
  <c r="A37" i="22"/>
  <c r="B37" i="22"/>
  <c r="E39" i="22"/>
  <c r="F39" i="22"/>
  <c r="E40" i="22"/>
  <c r="F40" i="22"/>
  <c r="E41" i="22"/>
  <c r="F41" i="22"/>
  <c r="E42" i="22"/>
  <c r="F42" i="22"/>
  <c r="E43" i="22"/>
  <c r="F43" i="22"/>
  <c r="E44" i="22"/>
  <c r="F44" i="22"/>
  <c r="F45" i="22"/>
  <c r="A50" i="22"/>
  <c r="B50" i="22"/>
  <c r="E60" i="22"/>
  <c r="E52" i="22" s="1"/>
  <c r="F60" i="22"/>
  <c r="F52" i="22" s="1"/>
  <c r="E61" i="22"/>
  <c r="E53" i="22" s="1"/>
  <c r="F61" i="22"/>
  <c r="F53" i="22" s="1"/>
  <c r="E62" i="22"/>
  <c r="E54" i="22" s="1"/>
  <c r="F62" i="22"/>
  <c r="F54" i="22" s="1"/>
  <c r="E63" i="22"/>
  <c r="E55" i="22" s="1"/>
  <c r="F63" i="22"/>
  <c r="F55" i="22" s="1"/>
  <c r="E64" i="22"/>
  <c r="E56" i="22" s="1"/>
  <c r="F64" i="22"/>
  <c r="F56" i="22" s="1"/>
  <c r="E65" i="22"/>
  <c r="E57" i="22" s="1"/>
  <c r="F65" i="22"/>
  <c r="F57" i="22" s="1"/>
  <c r="F66" i="22"/>
  <c r="F58" i="22" s="1"/>
  <c r="A70" i="22"/>
  <c r="B70" i="22"/>
  <c r="E72" i="22"/>
  <c r="F72" i="22"/>
  <c r="E73" i="22"/>
  <c r="F73" i="22"/>
  <c r="E74" i="22"/>
  <c r="F74" i="22"/>
  <c r="E75" i="22"/>
  <c r="F75" i="22"/>
  <c r="E76" i="22"/>
  <c r="F76" i="22"/>
  <c r="E77" i="22"/>
  <c r="F77" i="22"/>
  <c r="F79" i="22"/>
  <c r="E81" i="22"/>
  <c r="F81" i="22"/>
  <c r="E82" i="22"/>
  <c r="F82" i="22"/>
  <c r="E83" i="22"/>
  <c r="F83" i="22"/>
  <c r="E84" i="22"/>
  <c r="F84" i="22"/>
  <c r="E85" i="22"/>
  <c r="F85" i="22"/>
  <c r="F86" i="22"/>
  <c r="A99" i="22"/>
  <c r="B99" i="22"/>
  <c r="E101" i="22"/>
  <c r="F101" i="22"/>
  <c r="E102" i="22"/>
  <c r="F102" i="22"/>
  <c r="E103" i="22"/>
  <c r="F103" i="22"/>
  <c r="E104" i="22"/>
  <c r="F104" i="22"/>
  <c r="E105" i="22"/>
  <c r="F105" i="22"/>
  <c r="E106" i="22"/>
  <c r="F106" i="22"/>
  <c r="F107" i="22"/>
  <c r="A113" i="22"/>
  <c r="B113" i="22"/>
  <c r="E115" i="22"/>
  <c r="F115" i="22"/>
  <c r="E116" i="22"/>
  <c r="F116" i="22"/>
  <c r="E117" i="22"/>
  <c r="F117" i="22"/>
  <c r="E118" i="22"/>
  <c r="F118" i="22"/>
  <c r="E119" i="22"/>
  <c r="F119" i="22"/>
  <c r="E120" i="22"/>
  <c r="F120" i="22"/>
  <c r="F121" i="22"/>
  <c r="A126" i="22"/>
  <c r="B126" i="22"/>
  <c r="E128" i="22"/>
  <c r="F128" i="22"/>
  <c r="E129" i="22"/>
  <c r="F129" i="22"/>
  <c r="E130" i="22"/>
  <c r="F130" i="22"/>
  <c r="E131" i="22"/>
  <c r="F131" i="22"/>
  <c r="E132" i="22"/>
  <c r="F132" i="22"/>
  <c r="E133" i="22"/>
  <c r="F133" i="22"/>
  <c r="F134" i="22"/>
  <c r="A150" i="22"/>
  <c r="B150" i="22"/>
  <c r="E152" i="22"/>
  <c r="F152" i="22"/>
  <c r="E153" i="22"/>
  <c r="F153" i="22"/>
  <c r="E154" i="22"/>
  <c r="F154" i="22"/>
  <c r="E155" i="22"/>
  <c r="F155" i="22"/>
  <c r="E156" i="22"/>
  <c r="F156" i="22"/>
  <c r="E157" i="22"/>
  <c r="F157" i="22"/>
  <c r="F158" i="22"/>
  <c r="A164" i="22"/>
  <c r="B164" i="22"/>
  <c r="E166" i="22"/>
  <c r="F166" i="22"/>
  <c r="E167" i="22"/>
  <c r="F167" i="22"/>
  <c r="E168" i="22"/>
  <c r="F168" i="22"/>
  <c r="E169" i="22"/>
  <c r="F169" i="22"/>
  <c r="F170" i="22"/>
  <c r="A5" i="21"/>
  <c r="B5" i="21"/>
  <c r="F13" i="21"/>
  <c r="K13" i="21" s="1"/>
  <c r="A76" i="21"/>
  <c r="B76" i="21"/>
  <c r="E77" i="21"/>
  <c r="F77" i="21" s="1"/>
  <c r="K77" i="21" s="1"/>
  <c r="E78" i="21"/>
  <c r="F78" i="21" s="1"/>
  <c r="K78" i="21" s="1"/>
  <c r="E79" i="21"/>
  <c r="F79" i="21" s="1"/>
  <c r="K79" i="21" s="1"/>
  <c r="E80" i="21"/>
  <c r="F80" i="21" s="1"/>
  <c r="K80" i="21" s="1"/>
  <c r="E81" i="21"/>
  <c r="F81" i="21" s="1"/>
  <c r="K81" i="21" s="1"/>
  <c r="E82" i="21"/>
  <c r="F82" i="21" s="1"/>
  <c r="K82" i="21" s="1"/>
  <c r="E83" i="21"/>
  <c r="F83" i="21" s="1"/>
  <c r="K83" i="21" s="1"/>
  <c r="E84" i="21"/>
  <c r="F84" i="21" s="1"/>
  <c r="K84" i="21" s="1"/>
  <c r="E85" i="21"/>
  <c r="F85" i="21" s="1"/>
  <c r="A92" i="21"/>
  <c r="B92" i="21"/>
  <c r="E93" i="21"/>
  <c r="F93" i="21" s="1"/>
  <c r="E94" i="21"/>
  <c r="F94" i="21" s="1"/>
  <c r="L94" i="21" s="1"/>
  <c r="E95" i="21"/>
  <c r="F95" i="21" s="1"/>
  <c r="J95" i="21" s="1"/>
  <c r="E96" i="21"/>
  <c r="F96" i="21" s="1"/>
  <c r="K96" i="21" s="1"/>
  <c r="E97" i="21"/>
  <c r="F97" i="21" s="1"/>
  <c r="E98" i="21"/>
  <c r="F98" i="21" s="1"/>
  <c r="L98" i="21" s="1"/>
  <c r="E99" i="21"/>
  <c r="F99" i="21" s="1"/>
  <c r="J99" i="21" s="1"/>
  <c r="E100" i="21"/>
  <c r="F100" i="21" s="1"/>
  <c r="J100" i="21" s="1"/>
  <c r="A108" i="21"/>
  <c r="B108" i="21"/>
  <c r="E109" i="21"/>
  <c r="F109" i="21" s="1"/>
  <c r="J109" i="21" s="1"/>
  <c r="E110" i="21"/>
  <c r="F110" i="21" s="1"/>
  <c r="E111" i="21"/>
  <c r="F111" i="21" s="1"/>
  <c r="E112" i="21"/>
  <c r="F112" i="21" s="1"/>
  <c r="K112" i="21" s="1"/>
  <c r="E113" i="21"/>
  <c r="F113" i="21" s="1"/>
  <c r="J113" i="21" s="1"/>
  <c r="E114" i="21"/>
  <c r="F114" i="21" s="1"/>
  <c r="K114" i="21" s="1"/>
  <c r="E115" i="21"/>
  <c r="F115" i="21" s="1"/>
  <c r="L115" i="21" s="1"/>
  <c r="E116" i="21"/>
  <c r="F116" i="21" s="1"/>
  <c r="K116" i="21" s="1"/>
  <c r="E117" i="21"/>
  <c r="F117" i="21" s="1"/>
  <c r="J117" i="21" s="1"/>
  <c r="E118" i="21"/>
  <c r="F118" i="21" s="1"/>
  <c r="K118" i="21" s="1"/>
  <c r="E119" i="21"/>
  <c r="F119" i="21" s="1"/>
  <c r="J119" i="21" s="1"/>
  <c r="A135" i="21"/>
  <c r="B135" i="21"/>
  <c r="E137" i="21"/>
  <c r="F137" i="21" s="1"/>
  <c r="K137" i="21" s="1"/>
  <c r="E138" i="21"/>
  <c r="F138" i="21" s="1"/>
  <c r="K138" i="21" s="1"/>
  <c r="E139" i="21"/>
  <c r="F139" i="21" s="1"/>
  <c r="L139" i="21" s="1"/>
  <c r="E141" i="21"/>
  <c r="F141" i="21" s="1"/>
  <c r="J141" i="21" s="1"/>
  <c r="E142" i="21"/>
  <c r="F142" i="21" s="1"/>
  <c r="K142" i="21" s="1"/>
  <c r="E143" i="21"/>
  <c r="F143" i="21" s="1"/>
  <c r="K143" i="21" s="1"/>
  <c r="E144" i="21"/>
  <c r="F144" i="21" s="1"/>
  <c r="E145" i="21"/>
  <c r="F145" i="21" s="1"/>
  <c r="J145" i="21" s="1"/>
  <c r="E148" i="21"/>
  <c r="F148" i="21" s="1"/>
  <c r="K148" i="21" s="1"/>
  <c r="E149" i="21"/>
  <c r="F149" i="21" s="1"/>
  <c r="J149" i="21" s="1"/>
  <c r="E150" i="21"/>
  <c r="F150" i="21" s="1"/>
  <c r="J150" i="21" s="1"/>
  <c r="E151" i="21"/>
  <c r="F151" i="21" s="1"/>
  <c r="J151" i="21" s="1"/>
  <c r="A166" i="21"/>
  <c r="B166" i="21"/>
  <c r="C166" i="21"/>
  <c r="D166" i="21"/>
  <c r="E167" i="21"/>
  <c r="F167" i="21" s="1"/>
  <c r="J167" i="21" s="1"/>
  <c r="E168" i="21"/>
  <c r="F168" i="21" s="1"/>
  <c r="K168" i="21" s="1"/>
  <c r="E169" i="21"/>
  <c r="F169" i="21" s="1"/>
  <c r="E170" i="21"/>
  <c r="F170" i="21" s="1"/>
  <c r="E171" i="21"/>
  <c r="F171" i="21" s="1"/>
  <c r="L171" i="21" s="1"/>
  <c r="E172" i="21"/>
  <c r="F172" i="21" s="1"/>
  <c r="J172" i="21" s="1"/>
  <c r="E173" i="21"/>
  <c r="F173" i="21" s="1"/>
  <c r="E174" i="21"/>
  <c r="F174" i="21" s="1"/>
  <c r="E175" i="21"/>
  <c r="F175" i="21" s="1"/>
  <c r="E176" i="21"/>
  <c r="F176" i="21" s="1"/>
  <c r="E177" i="21"/>
  <c r="F177" i="21" s="1"/>
  <c r="K177" i="21" s="1"/>
  <c r="A184" i="21"/>
  <c r="B184" i="21"/>
  <c r="C184" i="21"/>
  <c r="D184" i="21"/>
  <c r="E185" i="21"/>
  <c r="F185" i="21" s="1"/>
  <c r="E186" i="21"/>
  <c r="F186" i="21" s="1"/>
  <c r="J186" i="21" s="1"/>
  <c r="E187" i="21"/>
  <c r="F187" i="21" s="1"/>
  <c r="K187" i="21" s="1"/>
  <c r="E188" i="21"/>
  <c r="F188" i="21" s="1"/>
  <c r="E189" i="21"/>
  <c r="F189" i="21" s="1"/>
  <c r="E190" i="21"/>
  <c r="F190" i="21" s="1"/>
  <c r="K190" i="21" s="1"/>
  <c r="E191" i="21"/>
  <c r="F191" i="21" s="1"/>
  <c r="J191" i="21" s="1"/>
  <c r="E192" i="21"/>
  <c r="F192" i="21" s="1"/>
  <c r="E193" i="21"/>
  <c r="F193" i="21" s="1"/>
  <c r="J193" i="21" s="1"/>
  <c r="E194" i="21"/>
  <c r="F194" i="21" s="1"/>
  <c r="E195" i="21"/>
  <c r="F195" i="21" s="1"/>
  <c r="A203" i="21"/>
  <c r="B203" i="21"/>
  <c r="E204" i="21"/>
  <c r="F204" i="21" s="1"/>
  <c r="E205" i="21"/>
  <c r="F205" i="21" s="1"/>
  <c r="K205" i="21" s="1"/>
  <c r="E206" i="21"/>
  <c r="F206" i="21" s="1"/>
  <c r="E207" i="21"/>
  <c r="F207" i="21" s="1"/>
  <c r="E208" i="21"/>
  <c r="F208" i="21" s="1"/>
  <c r="K208" i="21" s="1"/>
  <c r="E209" i="21"/>
  <c r="F209" i="21" s="1"/>
  <c r="E210" i="21"/>
  <c r="F210" i="21" s="1"/>
  <c r="E211" i="21"/>
  <c r="F211" i="21" s="1"/>
  <c r="L211" i="21" s="1"/>
  <c r="E212" i="21"/>
  <c r="F212" i="21" s="1"/>
  <c r="E213" i="21"/>
  <c r="F213" i="21" s="1"/>
  <c r="N213" i="21" s="1"/>
  <c r="A223" i="21"/>
  <c r="B223" i="21"/>
  <c r="C223" i="21"/>
  <c r="D223" i="21"/>
  <c r="E224" i="21"/>
  <c r="F224" i="21" s="1"/>
  <c r="J224" i="21" s="1"/>
  <c r="E225" i="21"/>
  <c r="F225" i="21" s="1"/>
  <c r="K225" i="21" s="1"/>
  <c r="E226" i="21"/>
  <c r="F226" i="21" s="1"/>
  <c r="L226" i="21" s="1"/>
  <c r="E227" i="21"/>
  <c r="F227" i="21" s="1"/>
  <c r="E228" i="21"/>
  <c r="F228" i="21" s="1"/>
  <c r="K228" i="21" s="1"/>
  <c r="E229" i="21"/>
  <c r="F229" i="21" s="1"/>
  <c r="K229" i="21" s="1"/>
  <c r="E230" i="21"/>
  <c r="F230" i="21" s="1"/>
  <c r="E231" i="21"/>
  <c r="F231" i="21" s="1"/>
  <c r="A241" i="21"/>
  <c r="B241" i="21"/>
  <c r="F249" i="21"/>
  <c r="J249" i="21" s="1"/>
  <c r="A5" i="40"/>
  <c r="H6" i="40"/>
  <c r="A30" i="40"/>
  <c r="B30" i="40"/>
  <c r="C30" i="40"/>
  <c r="D30" i="40"/>
  <c r="F30" i="40"/>
  <c r="G30" i="40"/>
  <c r="H30" i="40"/>
  <c r="A32" i="40"/>
  <c r="B32" i="40"/>
  <c r="C32" i="40"/>
  <c r="E32" i="40"/>
  <c r="A33" i="40"/>
  <c r="B33" i="40"/>
  <c r="C33" i="40"/>
  <c r="E33" i="40"/>
  <c r="F33" i="40"/>
  <c r="G33" i="40"/>
  <c r="A34" i="40"/>
  <c r="B34" i="40"/>
  <c r="C34" i="40"/>
  <c r="E34" i="40"/>
  <c r="F34" i="40"/>
  <c r="G34" i="40"/>
  <c r="A35" i="40"/>
  <c r="B35" i="40"/>
  <c r="C35" i="40"/>
  <c r="E35" i="40"/>
  <c r="F35" i="40"/>
  <c r="G35" i="40"/>
  <c r="A36" i="40"/>
  <c r="B36" i="40"/>
  <c r="C36" i="40"/>
  <c r="E36" i="40"/>
  <c r="F36" i="40"/>
  <c r="G36" i="40"/>
  <c r="A37" i="40"/>
  <c r="B37" i="40"/>
  <c r="C37" i="40"/>
  <c r="E37" i="40"/>
  <c r="F37" i="40"/>
  <c r="G37" i="40"/>
  <c r="A38" i="40"/>
  <c r="B38" i="40"/>
  <c r="C38" i="40"/>
  <c r="E38" i="40"/>
  <c r="F38" i="40"/>
  <c r="G38" i="40"/>
  <c r="A39" i="40"/>
  <c r="B39" i="40"/>
  <c r="C39" i="40"/>
  <c r="E39" i="40"/>
  <c r="F39" i="40"/>
  <c r="G39" i="40"/>
  <c r="A40" i="40"/>
  <c r="B40" i="40"/>
  <c r="C40" i="40"/>
  <c r="E40" i="40"/>
  <c r="F40" i="40"/>
  <c r="G40" i="40"/>
  <c r="A41" i="40"/>
  <c r="B41" i="40"/>
  <c r="C41" i="40"/>
  <c r="E41" i="40"/>
  <c r="F41" i="40"/>
  <c r="G41" i="40"/>
  <c r="A42" i="40"/>
  <c r="B42" i="40"/>
  <c r="C42" i="40"/>
  <c r="E42" i="40"/>
  <c r="F42" i="40"/>
  <c r="G42" i="40"/>
  <c r="H42" i="40"/>
  <c r="A43" i="40"/>
  <c r="B43" i="40"/>
  <c r="C43" i="40"/>
  <c r="E43" i="40"/>
  <c r="F43" i="40"/>
  <c r="G43" i="40"/>
  <c r="A44" i="40"/>
  <c r="B44" i="40"/>
  <c r="C44" i="40"/>
  <c r="E44" i="40"/>
  <c r="F44" i="40"/>
  <c r="G44" i="40"/>
  <c r="A45" i="40"/>
  <c r="B45" i="40"/>
  <c r="C45" i="40"/>
  <c r="E45" i="40"/>
  <c r="F45" i="40"/>
  <c r="G45" i="40"/>
  <c r="A46" i="40"/>
  <c r="B46" i="40"/>
  <c r="C46" i="40"/>
  <c r="E46" i="40"/>
  <c r="F46" i="40"/>
  <c r="G46" i="40"/>
  <c r="H46" i="40"/>
  <c r="A47" i="40"/>
  <c r="B47" i="40"/>
  <c r="C47" i="40"/>
  <c r="E47" i="40"/>
  <c r="F47" i="40"/>
  <c r="G47" i="40"/>
  <c r="A48" i="40"/>
  <c r="B48" i="40"/>
  <c r="C48" i="40"/>
  <c r="E48" i="40"/>
  <c r="F48" i="40"/>
  <c r="G48" i="40"/>
  <c r="A49" i="40"/>
  <c r="C49" i="40"/>
  <c r="E49" i="40"/>
  <c r="F49" i="40"/>
  <c r="G49" i="40"/>
  <c r="C50" i="40"/>
  <c r="E50" i="40"/>
  <c r="F50" i="40"/>
  <c r="G50" i="40"/>
  <c r="C51" i="40"/>
  <c r="E51" i="40"/>
  <c r="F51" i="40"/>
  <c r="G51" i="40"/>
  <c r="C52" i="40"/>
  <c r="E52" i="40"/>
  <c r="F52" i="40"/>
  <c r="G52" i="40"/>
  <c r="C53" i="40"/>
  <c r="E53" i="40"/>
  <c r="F53" i="40"/>
  <c r="G53" i="40"/>
  <c r="C54" i="40"/>
  <c r="E54" i="40"/>
  <c r="F54" i="40"/>
  <c r="G54" i="40"/>
  <c r="A55" i="40"/>
  <c r="B55" i="40"/>
  <c r="C55" i="40"/>
  <c r="E55" i="40"/>
  <c r="F55" i="40"/>
  <c r="G55" i="40"/>
  <c r="C56" i="40"/>
  <c r="E56" i="40"/>
  <c r="F56" i="40"/>
  <c r="G56" i="40"/>
  <c r="C57" i="40"/>
  <c r="E57" i="40"/>
  <c r="F57" i="40"/>
  <c r="G57" i="40"/>
  <c r="C58" i="40"/>
  <c r="E58" i="40"/>
  <c r="F58" i="40"/>
  <c r="G58" i="40"/>
  <c r="C59" i="40"/>
  <c r="E59" i="40"/>
  <c r="F59" i="40"/>
  <c r="G59" i="40"/>
  <c r="C60" i="40"/>
  <c r="E60" i="40"/>
  <c r="F60" i="40"/>
  <c r="G60" i="40"/>
  <c r="A61" i="40"/>
  <c r="B61" i="40"/>
  <c r="C61" i="40"/>
  <c r="E61" i="40"/>
  <c r="F61" i="40"/>
  <c r="G61" i="40"/>
  <c r="A62" i="40"/>
  <c r="B62" i="40"/>
  <c r="C62" i="40"/>
  <c r="E62" i="40"/>
  <c r="F62" i="40"/>
  <c r="G62" i="40"/>
  <c r="A63" i="40"/>
  <c r="B63" i="40"/>
  <c r="C63" i="40"/>
  <c r="E63" i="40"/>
  <c r="F63" i="40"/>
  <c r="G63" i="40"/>
  <c r="A64" i="40"/>
  <c r="B64" i="40"/>
  <c r="C64" i="40"/>
  <c r="E64" i="40"/>
  <c r="F64" i="40"/>
  <c r="G64" i="40"/>
  <c r="A65" i="40"/>
  <c r="B65" i="40"/>
  <c r="C65" i="40"/>
  <c r="E65" i="40"/>
  <c r="F65" i="40"/>
  <c r="G65" i="40"/>
  <c r="A66" i="40"/>
  <c r="B66" i="40"/>
  <c r="C66" i="40"/>
  <c r="E66" i="40"/>
  <c r="F66" i="40"/>
  <c r="G66" i="40"/>
  <c r="A67" i="40"/>
  <c r="B67" i="40"/>
  <c r="C67" i="40"/>
  <c r="E67" i="40"/>
  <c r="F67" i="40"/>
  <c r="G67" i="40"/>
  <c r="H67" i="40"/>
  <c r="A68" i="40"/>
  <c r="B68" i="40"/>
  <c r="C68" i="40"/>
  <c r="E68" i="40"/>
  <c r="F68" i="40"/>
  <c r="G68" i="40"/>
  <c r="A69" i="40"/>
  <c r="B69" i="40"/>
  <c r="C69" i="40"/>
  <c r="E69" i="40"/>
  <c r="F69" i="40"/>
  <c r="G69" i="40"/>
  <c r="A70" i="40"/>
  <c r="B70" i="40"/>
  <c r="C70" i="40"/>
  <c r="E70" i="40"/>
  <c r="F70" i="40"/>
  <c r="G70" i="40"/>
  <c r="A71" i="40"/>
  <c r="B71" i="40"/>
  <c r="C71" i="40"/>
  <c r="E71" i="40"/>
  <c r="F71" i="40"/>
  <c r="G71" i="40"/>
  <c r="A72" i="40"/>
  <c r="B72" i="40"/>
  <c r="C72" i="40"/>
  <c r="E72" i="40"/>
  <c r="F72" i="40"/>
  <c r="G72" i="40"/>
  <c r="A73" i="40"/>
  <c r="B73" i="40"/>
  <c r="C73" i="40"/>
  <c r="E73" i="40"/>
  <c r="F73" i="40"/>
  <c r="G73" i="40"/>
  <c r="A74" i="40"/>
  <c r="B74" i="40"/>
  <c r="C74" i="40"/>
  <c r="E74" i="40"/>
  <c r="F74" i="40"/>
  <c r="G74" i="40"/>
  <c r="A75" i="40"/>
  <c r="B75" i="40"/>
  <c r="C75" i="40"/>
  <c r="E75" i="40"/>
  <c r="F75" i="40"/>
  <c r="G75" i="40"/>
  <c r="A76" i="40"/>
  <c r="B76" i="40"/>
  <c r="C76" i="40"/>
  <c r="E76" i="40"/>
  <c r="F76" i="40"/>
  <c r="G76" i="40"/>
  <c r="H76" i="40"/>
  <c r="A77" i="40"/>
  <c r="B77" i="40"/>
  <c r="C77" i="40"/>
  <c r="E77" i="40"/>
  <c r="F77" i="40"/>
  <c r="G77" i="40"/>
  <c r="A78" i="40"/>
  <c r="B78" i="40"/>
  <c r="C78" i="40"/>
  <c r="E78" i="40"/>
  <c r="F78" i="40"/>
  <c r="G78" i="40"/>
  <c r="A79" i="40"/>
  <c r="B79" i="40"/>
  <c r="C79" i="40"/>
  <c r="E79" i="40"/>
  <c r="F79" i="40"/>
  <c r="G79" i="40"/>
  <c r="A80" i="40"/>
  <c r="B80" i="40"/>
  <c r="C80" i="40"/>
  <c r="E80" i="40"/>
  <c r="F80" i="40"/>
  <c r="G80" i="40"/>
  <c r="A81" i="40"/>
  <c r="B81" i="40"/>
  <c r="C81" i="40"/>
  <c r="E81" i="40"/>
  <c r="F81" i="40"/>
  <c r="G81" i="40"/>
  <c r="A82" i="40"/>
  <c r="B82" i="40"/>
  <c r="C82" i="40"/>
  <c r="E82" i="40"/>
  <c r="F82" i="40"/>
  <c r="G82" i="40"/>
  <c r="A83" i="40"/>
  <c r="B83" i="40"/>
  <c r="C83" i="40"/>
  <c r="E83" i="40"/>
  <c r="F83" i="40"/>
  <c r="G83" i="40"/>
  <c r="A84" i="40"/>
  <c r="B84" i="40"/>
  <c r="C84" i="40"/>
  <c r="E84" i="40"/>
  <c r="F84" i="40"/>
  <c r="G84" i="40"/>
  <c r="A85" i="40"/>
  <c r="B85" i="40"/>
  <c r="C85" i="40"/>
  <c r="E85" i="40"/>
  <c r="F85" i="40"/>
  <c r="G85" i="40"/>
  <c r="A86" i="40"/>
  <c r="B86" i="40"/>
  <c r="C86" i="40"/>
  <c r="E86" i="40"/>
  <c r="F86" i="40"/>
  <c r="G86" i="40"/>
  <c r="A87" i="40"/>
  <c r="B87" i="40"/>
  <c r="C87" i="40"/>
  <c r="E87" i="40"/>
  <c r="F87" i="40"/>
  <c r="G87" i="40"/>
  <c r="A88" i="40"/>
  <c r="B88" i="40"/>
  <c r="C88" i="40"/>
  <c r="E88" i="40"/>
  <c r="F88" i="40"/>
  <c r="G88" i="40"/>
  <c r="A89" i="40"/>
  <c r="B89" i="40"/>
  <c r="C89" i="40"/>
  <c r="E89" i="40"/>
  <c r="F89" i="40"/>
  <c r="G89" i="40"/>
  <c r="A90" i="40"/>
  <c r="B90" i="40"/>
  <c r="C90" i="40"/>
  <c r="E90" i="40"/>
  <c r="F90" i="40"/>
  <c r="G90" i="40"/>
  <c r="A91" i="40"/>
  <c r="B91" i="40"/>
  <c r="C91" i="40"/>
  <c r="E91" i="40"/>
  <c r="F91" i="40"/>
  <c r="G91" i="40"/>
  <c r="A92" i="40"/>
  <c r="B92" i="40"/>
  <c r="C92" i="40"/>
  <c r="E92" i="40"/>
  <c r="F92" i="40"/>
  <c r="G92" i="40"/>
  <c r="A93" i="40"/>
  <c r="B93" i="40"/>
  <c r="C93" i="40"/>
  <c r="E93" i="40"/>
  <c r="F93" i="40"/>
  <c r="G93" i="40"/>
  <c r="A94" i="40"/>
  <c r="B94" i="40"/>
  <c r="C94" i="40"/>
  <c r="E94" i="40"/>
  <c r="F94" i="40"/>
  <c r="A95" i="40"/>
  <c r="B95" i="40"/>
  <c r="D95" i="40"/>
  <c r="E95" i="40"/>
  <c r="F95" i="40"/>
  <c r="H95" i="40"/>
  <c r="A96" i="40"/>
  <c r="B96" i="40"/>
  <c r="C96" i="40"/>
  <c r="E96" i="40"/>
  <c r="F96" i="40"/>
  <c r="A97" i="40"/>
  <c r="B97" i="40"/>
  <c r="C97" i="40"/>
  <c r="E97" i="40"/>
  <c r="F97" i="40"/>
  <c r="A98" i="40"/>
  <c r="B98" i="40"/>
  <c r="C98" i="40"/>
  <c r="E98" i="40"/>
  <c r="F98" i="40"/>
  <c r="G98" i="40"/>
  <c r="A99" i="40"/>
  <c r="B99" i="40"/>
  <c r="C99" i="40"/>
  <c r="E99" i="40"/>
  <c r="F99" i="40"/>
  <c r="G99" i="40"/>
  <c r="A100" i="40"/>
  <c r="B100" i="40"/>
  <c r="C100" i="40"/>
  <c r="E100" i="40"/>
  <c r="F100" i="40"/>
  <c r="G100" i="40"/>
  <c r="A101" i="40"/>
  <c r="B101" i="40"/>
  <c r="C101" i="40"/>
  <c r="E101" i="40"/>
  <c r="F101" i="40"/>
  <c r="A102" i="40"/>
  <c r="C102" i="40"/>
  <c r="E102" i="40"/>
  <c r="F102" i="40"/>
  <c r="A103" i="40"/>
  <c r="B103" i="40"/>
  <c r="C103" i="40"/>
  <c r="D103" i="40"/>
  <c r="E103" i="40"/>
  <c r="F103" i="40"/>
  <c r="A104" i="40"/>
  <c r="A105" i="40"/>
  <c r="A106" i="40"/>
  <c r="A108" i="40"/>
  <c r="A109" i="40"/>
  <c r="A113" i="40"/>
  <c r="B113" i="40"/>
  <c r="A114" i="40"/>
  <c r="A138" i="40"/>
  <c r="B138" i="40"/>
  <c r="C138" i="40"/>
  <c r="E138" i="40"/>
  <c r="F138" i="40"/>
  <c r="G138" i="40"/>
  <c r="H138" i="40"/>
  <c r="J138" i="40"/>
  <c r="A139" i="40"/>
  <c r="B139" i="40"/>
  <c r="C139" i="40"/>
  <c r="E139" i="40"/>
  <c r="F139" i="40"/>
  <c r="G139" i="40"/>
  <c r="H139" i="40"/>
  <c r="I139" i="40"/>
  <c r="A140" i="40"/>
  <c r="B140" i="40"/>
  <c r="C140" i="40"/>
  <c r="E140" i="40"/>
  <c r="F140" i="40"/>
  <c r="G140" i="40"/>
  <c r="H140" i="40"/>
  <c r="I140" i="40"/>
  <c r="A141" i="40"/>
  <c r="B141" i="40"/>
  <c r="C141" i="40"/>
  <c r="E141" i="40"/>
  <c r="F141" i="40"/>
  <c r="G141" i="40"/>
  <c r="H141" i="40"/>
  <c r="I141" i="40"/>
  <c r="A142" i="40"/>
  <c r="B142" i="40"/>
  <c r="C142" i="40"/>
  <c r="E142" i="40"/>
  <c r="F142" i="40"/>
  <c r="G142" i="40"/>
  <c r="I142" i="40"/>
  <c r="A143" i="40"/>
  <c r="B143" i="40"/>
  <c r="C143" i="40"/>
  <c r="E143" i="40"/>
  <c r="F143" i="40"/>
  <c r="G143" i="40"/>
  <c r="H143" i="40"/>
  <c r="I143" i="40"/>
  <c r="A144" i="40"/>
  <c r="B144" i="40"/>
  <c r="C144" i="40"/>
  <c r="E144" i="40"/>
  <c r="F144" i="40"/>
  <c r="G144" i="40"/>
  <c r="H144" i="40"/>
  <c r="I144" i="40"/>
  <c r="A145" i="40"/>
  <c r="B145" i="40"/>
  <c r="C145" i="40"/>
  <c r="E145" i="40"/>
  <c r="F145" i="40"/>
  <c r="G145" i="40"/>
  <c r="H145" i="40"/>
  <c r="I145" i="40"/>
  <c r="A146" i="40"/>
  <c r="B146" i="40"/>
  <c r="C146" i="40"/>
  <c r="E146" i="40"/>
  <c r="F146" i="40"/>
  <c r="G146" i="40"/>
  <c r="H146" i="40"/>
  <c r="I146" i="40"/>
  <c r="A147" i="40"/>
  <c r="B147" i="40"/>
  <c r="C147" i="40"/>
  <c r="E147" i="40"/>
  <c r="F147" i="40"/>
  <c r="G147" i="40"/>
  <c r="H147" i="40"/>
  <c r="I147" i="40"/>
  <c r="A148" i="40"/>
  <c r="B148" i="40"/>
  <c r="C148" i="40"/>
  <c r="E148" i="40"/>
  <c r="F148" i="40"/>
  <c r="G148" i="40"/>
  <c r="H148" i="40"/>
  <c r="I148" i="40"/>
  <c r="A149" i="40"/>
  <c r="B149" i="40"/>
  <c r="C149" i="40"/>
  <c r="E149" i="40"/>
  <c r="F149" i="40"/>
  <c r="G149" i="40"/>
  <c r="H149" i="40"/>
  <c r="I149" i="40"/>
  <c r="A150" i="40"/>
  <c r="B150" i="40"/>
  <c r="C150" i="40"/>
  <c r="E150" i="40"/>
  <c r="F150" i="40"/>
  <c r="G150" i="40"/>
  <c r="H150" i="40"/>
  <c r="I150" i="40"/>
  <c r="C151" i="40"/>
  <c r="E151" i="40"/>
  <c r="F151" i="40"/>
  <c r="G151" i="40"/>
  <c r="H151" i="40"/>
  <c r="I151" i="40"/>
  <c r="C152" i="40"/>
  <c r="E152" i="40"/>
  <c r="F152" i="40"/>
  <c r="G152" i="40"/>
  <c r="H152" i="40"/>
  <c r="I152" i="40"/>
  <c r="C153" i="40"/>
  <c r="E153" i="40"/>
  <c r="F153" i="40"/>
  <c r="G153" i="40"/>
  <c r="H153" i="40"/>
  <c r="I153" i="40"/>
  <c r="C154" i="40"/>
  <c r="E154" i="40"/>
  <c r="F154" i="40"/>
  <c r="G154" i="40"/>
  <c r="H154" i="40"/>
  <c r="I154" i="40"/>
  <c r="C155" i="40"/>
  <c r="E155" i="40"/>
  <c r="F155" i="40"/>
  <c r="G155" i="40"/>
  <c r="H155" i="40"/>
  <c r="I155" i="40"/>
  <c r="A156" i="40"/>
  <c r="B156" i="40"/>
  <c r="C156" i="40"/>
  <c r="E156" i="40"/>
  <c r="F156" i="40"/>
  <c r="G156" i="40"/>
  <c r="H156" i="40"/>
  <c r="I156" i="40"/>
  <c r="C157" i="40"/>
  <c r="E157" i="40"/>
  <c r="F157" i="40"/>
  <c r="G157" i="40"/>
  <c r="H157" i="40"/>
  <c r="I157" i="40"/>
  <c r="C158" i="40"/>
  <c r="E158" i="40"/>
  <c r="F158" i="40"/>
  <c r="G158" i="40"/>
  <c r="H158" i="40"/>
  <c r="I158" i="40"/>
  <c r="C159" i="40"/>
  <c r="E159" i="40"/>
  <c r="F159" i="40"/>
  <c r="G159" i="40"/>
  <c r="H159" i="40"/>
  <c r="I159" i="40"/>
  <c r="C160" i="40"/>
  <c r="E160" i="40"/>
  <c r="F160" i="40"/>
  <c r="G160" i="40"/>
  <c r="H160" i="40"/>
  <c r="I160" i="40"/>
  <c r="C161" i="40"/>
  <c r="E161" i="40"/>
  <c r="F161" i="40"/>
  <c r="G161" i="40"/>
  <c r="H161" i="40"/>
  <c r="I161" i="40"/>
  <c r="A162" i="40"/>
  <c r="B162" i="40"/>
  <c r="C162" i="40"/>
  <c r="E162" i="40"/>
  <c r="F162" i="40"/>
  <c r="G162" i="40"/>
  <c r="H162" i="40"/>
  <c r="I162" i="40"/>
  <c r="A163" i="40"/>
  <c r="B163" i="40"/>
  <c r="C163" i="40"/>
  <c r="E163" i="40"/>
  <c r="F163" i="40"/>
  <c r="G163" i="40"/>
  <c r="H163" i="40"/>
  <c r="I163" i="40"/>
  <c r="A164" i="40"/>
  <c r="B164" i="40"/>
  <c r="C164" i="40"/>
  <c r="D164" i="40"/>
  <c r="E164" i="40"/>
  <c r="F164" i="40"/>
  <c r="G164" i="40"/>
  <c r="H164" i="40"/>
  <c r="I164" i="40"/>
  <c r="J164" i="40"/>
  <c r="A165" i="40"/>
  <c r="B165" i="40"/>
  <c r="C165" i="40"/>
  <c r="E165" i="40"/>
  <c r="F165" i="40"/>
  <c r="G165" i="40"/>
  <c r="H165" i="40"/>
  <c r="I165" i="40"/>
  <c r="A166" i="40"/>
  <c r="B166" i="40"/>
  <c r="C166" i="40"/>
  <c r="E166" i="40"/>
  <c r="F166" i="40"/>
  <c r="G166" i="40"/>
  <c r="H166" i="40"/>
  <c r="I166" i="40"/>
  <c r="A167" i="40"/>
  <c r="B167" i="40"/>
  <c r="C167" i="40"/>
  <c r="E167" i="40"/>
  <c r="F167" i="40"/>
  <c r="G167" i="40"/>
  <c r="H167" i="40"/>
  <c r="I167" i="40"/>
  <c r="A168" i="40"/>
  <c r="B168" i="40"/>
  <c r="C168" i="40"/>
  <c r="E168" i="40"/>
  <c r="F168" i="40"/>
  <c r="G168" i="40"/>
  <c r="H168" i="40"/>
  <c r="I168" i="40"/>
  <c r="A169" i="40"/>
  <c r="B169" i="40"/>
  <c r="C169" i="40"/>
  <c r="E169" i="40"/>
  <c r="F169" i="40"/>
  <c r="G169" i="40"/>
  <c r="H169" i="40"/>
  <c r="I169" i="40"/>
  <c r="A170" i="40"/>
  <c r="B170" i="40"/>
  <c r="C170" i="40"/>
  <c r="E170" i="40"/>
  <c r="F170" i="40"/>
  <c r="G170" i="40"/>
  <c r="H170" i="40"/>
  <c r="I170" i="40"/>
  <c r="A171" i="40"/>
  <c r="B171" i="40"/>
  <c r="C171" i="40"/>
  <c r="E171" i="40"/>
  <c r="F171" i="40"/>
  <c r="G171" i="40"/>
  <c r="H171" i="40"/>
  <c r="I171" i="40"/>
  <c r="A172" i="40"/>
  <c r="B172" i="40"/>
  <c r="C172" i="40"/>
  <c r="E172" i="40"/>
  <c r="F172" i="40"/>
  <c r="G172" i="40"/>
  <c r="H172" i="40"/>
  <c r="I172" i="40"/>
  <c r="A173" i="40"/>
  <c r="B173" i="40"/>
  <c r="C173" i="40"/>
  <c r="E173" i="40"/>
  <c r="F173" i="40"/>
  <c r="G173" i="40"/>
  <c r="H173" i="40"/>
  <c r="I173" i="40"/>
  <c r="A174" i="40"/>
  <c r="B174" i="40"/>
  <c r="C174" i="40"/>
  <c r="D174" i="40"/>
  <c r="E174" i="40"/>
  <c r="F174" i="40"/>
  <c r="G174" i="40"/>
  <c r="H174" i="40"/>
  <c r="I174" i="40"/>
  <c r="J174" i="40"/>
  <c r="A175" i="40"/>
  <c r="B175" i="40"/>
  <c r="C175" i="40"/>
  <c r="E175" i="40"/>
  <c r="F175" i="40"/>
  <c r="G175" i="40"/>
  <c r="H175" i="40"/>
  <c r="I175" i="40"/>
  <c r="A176" i="40"/>
  <c r="B176" i="40"/>
  <c r="C176" i="40"/>
  <c r="E176" i="40"/>
  <c r="F176" i="40"/>
  <c r="G176" i="40"/>
  <c r="H176" i="40"/>
  <c r="I176" i="40"/>
  <c r="A177" i="40"/>
  <c r="B177" i="40"/>
  <c r="C177" i="40"/>
  <c r="E177" i="40"/>
  <c r="F177" i="40"/>
  <c r="G177" i="40"/>
  <c r="H177" i="40"/>
  <c r="I177" i="40"/>
  <c r="A178" i="40"/>
  <c r="B178" i="40"/>
  <c r="C178" i="40"/>
  <c r="E178" i="40"/>
  <c r="F178" i="40"/>
  <c r="G178" i="40"/>
  <c r="H178" i="40"/>
  <c r="I178" i="40"/>
  <c r="A179" i="40"/>
  <c r="B179" i="40"/>
  <c r="C179" i="40"/>
  <c r="E179" i="40"/>
  <c r="F179" i="40"/>
  <c r="G179" i="40"/>
  <c r="H179" i="40"/>
  <c r="I179" i="40"/>
  <c r="A180" i="40"/>
  <c r="B180" i="40"/>
  <c r="C180" i="40"/>
  <c r="E180" i="40"/>
  <c r="F180" i="40"/>
  <c r="G180" i="40"/>
  <c r="H180" i="40"/>
  <c r="I180" i="40"/>
  <c r="A181" i="40"/>
  <c r="B181" i="40"/>
  <c r="C181" i="40"/>
  <c r="E181" i="40"/>
  <c r="F181" i="40"/>
  <c r="G181" i="40"/>
  <c r="H181" i="40"/>
  <c r="I181" i="40"/>
  <c r="A182" i="40"/>
  <c r="B182" i="40"/>
  <c r="C182" i="40"/>
  <c r="E182" i="40"/>
  <c r="F182" i="40"/>
  <c r="G182" i="40"/>
  <c r="H182" i="40"/>
  <c r="I182" i="40"/>
  <c r="A183" i="40"/>
  <c r="B183" i="40"/>
  <c r="C183" i="40"/>
  <c r="E183" i="40"/>
  <c r="F183" i="40"/>
  <c r="G183" i="40"/>
  <c r="H183" i="40"/>
  <c r="I183" i="40"/>
  <c r="A184" i="40"/>
  <c r="B184" i="40"/>
  <c r="C184" i="40"/>
  <c r="E184" i="40"/>
  <c r="F184" i="40"/>
  <c r="G184" i="40"/>
  <c r="H184" i="40"/>
  <c r="I184" i="40"/>
  <c r="A185" i="40"/>
  <c r="B185" i="40"/>
  <c r="C185" i="40"/>
  <c r="E185" i="40"/>
  <c r="F185" i="40"/>
  <c r="G185" i="40"/>
  <c r="H185" i="40"/>
  <c r="I185" i="40"/>
  <c r="A186" i="40"/>
  <c r="B186" i="40"/>
  <c r="C186" i="40"/>
  <c r="E186" i="40"/>
  <c r="F186" i="40"/>
  <c r="G186" i="40"/>
  <c r="H186" i="40"/>
  <c r="I186" i="40"/>
  <c r="A187" i="40"/>
  <c r="B187" i="40"/>
  <c r="C187" i="40"/>
  <c r="D187" i="40"/>
  <c r="E187" i="40"/>
  <c r="F187" i="40"/>
  <c r="G187" i="40"/>
  <c r="H187" i="40"/>
  <c r="I187" i="40"/>
  <c r="J187" i="40"/>
  <c r="A188" i="40"/>
  <c r="B188" i="40"/>
  <c r="C188" i="40"/>
  <c r="E188" i="40"/>
  <c r="F188" i="40"/>
  <c r="G188" i="40"/>
  <c r="H188" i="40"/>
  <c r="I188" i="40"/>
  <c r="A189" i="40"/>
  <c r="B189" i="40"/>
  <c r="C189" i="40"/>
  <c r="E189" i="40"/>
  <c r="F189" i="40"/>
  <c r="G189" i="40"/>
  <c r="H189" i="40"/>
  <c r="I189" i="40"/>
  <c r="A190" i="40"/>
  <c r="B190" i="40"/>
  <c r="C190" i="40"/>
  <c r="E190" i="40"/>
  <c r="F190" i="40"/>
  <c r="G190" i="40"/>
  <c r="H190" i="40"/>
  <c r="I190" i="40"/>
  <c r="A191" i="40"/>
  <c r="B191" i="40"/>
  <c r="C191" i="40"/>
  <c r="E191" i="40"/>
  <c r="F191" i="40"/>
  <c r="G191" i="40"/>
  <c r="H191" i="40"/>
  <c r="I191" i="40"/>
  <c r="A192" i="40"/>
  <c r="B192" i="40"/>
  <c r="C192" i="40"/>
  <c r="E192" i="40"/>
  <c r="F192" i="40"/>
  <c r="G192" i="40"/>
  <c r="H192" i="40"/>
  <c r="I192" i="40"/>
  <c r="A193" i="40"/>
  <c r="B193" i="40"/>
  <c r="C193" i="40"/>
  <c r="E193" i="40"/>
  <c r="F193" i="40"/>
  <c r="G193" i="40"/>
  <c r="H193" i="40"/>
  <c r="I193" i="40"/>
  <c r="A194" i="40"/>
  <c r="B194" i="40"/>
  <c r="C194" i="40"/>
  <c r="D194" i="40"/>
  <c r="E194" i="40"/>
  <c r="F194" i="40"/>
  <c r="G194" i="40"/>
  <c r="H194" i="40"/>
  <c r="I194" i="40"/>
  <c r="J194" i="40"/>
  <c r="A195" i="40"/>
  <c r="B195" i="40"/>
  <c r="C195" i="40"/>
  <c r="E195" i="40"/>
  <c r="G195" i="40"/>
  <c r="H195" i="40"/>
  <c r="I195" i="40"/>
  <c r="A196" i="40"/>
  <c r="B196" i="40"/>
  <c r="C196" i="40"/>
  <c r="E196" i="40"/>
  <c r="F196" i="40"/>
  <c r="G196" i="40"/>
  <c r="H196" i="40"/>
  <c r="I196" i="40"/>
  <c r="J196" i="40"/>
  <c r="A197" i="40"/>
  <c r="B197" i="40"/>
  <c r="A198" i="40"/>
  <c r="B198" i="40"/>
  <c r="A199" i="40"/>
  <c r="B199" i="40"/>
  <c r="A200" i="40"/>
  <c r="B200" i="40"/>
  <c r="A204" i="40"/>
  <c r="B204" i="40"/>
  <c r="A205" i="40"/>
  <c r="B205" i="40"/>
  <c r="J205" i="40"/>
  <c r="A211" i="40"/>
  <c r="B211" i="40"/>
  <c r="C211" i="40"/>
  <c r="E211" i="40"/>
  <c r="F211" i="40"/>
  <c r="G211" i="40"/>
  <c r="H211" i="40"/>
  <c r="I211" i="40"/>
  <c r="A212" i="40"/>
  <c r="B212" i="40"/>
  <c r="C212" i="40"/>
  <c r="E212" i="40"/>
  <c r="F212" i="40"/>
  <c r="G212" i="40"/>
  <c r="H212" i="40"/>
  <c r="I212" i="40"/>
  <c r="A213" i="40"/>
  <c r="B213" i="40"/>
  <c r="C213" i="40"/>
  <c r="E213" i="40"/>
  <c r="F213" i="40"/>
  <c r="G213" i="40"/>
  <c r="H213" i="40"/>
  <c r="I213" i="40"/>
  <c r="A214" i="40"/>
  <c r="B214" i="40"/>
  <c r="C214" i="40"/>
  <c r="E214" i="40"/>
  <c r="F214" i="40"/>
  <c r="G214" i="40"/>
  <c r="H214" i="40"/>
  <c r="I214" i="40"/>
  <c r="A215" i="40"/>
  <c r="B215" i="40"/>
  <c r="C215" i="40"/>
  <c r="E215" i="40"/>
  <c r="F215" i="40"/>
  <c r="G215" i="40"/>
  <c r="H215" i="40"/>
  <c r="I215" i="40"/>
  <c r="A216" i="40"/>
  <c r="B216" i="40"/>
  <c r="C216" i="40"/>
  <c r="E216" i="40"/>
  <c r="F216" i="40"/>
  <c r="G216" i="40"/>
  <c r="H216" i="40"/>
  <c r="I216" i="40"/>
  <c r="A217" i="40"/>
  <c r="B217" i="40"/>
  <c r="C217" i="40"/>
  <c r="E217" i="40"/>
  <c r="F217" i="40"/>
  <c r="G217" i="40"/>
  <c r="H217" i="40"/>
  <c r="I217" i="40"/>
  <c r="A218" i="40"/>
  <c r="B218" i="40"/>
  <c r="C218" i="40"/>
  <c r="E218" i="40"/>
  <c r="F218" i="40"/>
  <c r="G218" i="40"/>
  <c r="H218" i="40"/>
  <c r="I218" i="40"/>
  <c r="A219" i="40"/>
  <c r="B219" i="40"/>
  <c r="C219" i="40"/>
  <c r="E219" i="40"/>
  <c r="F219" i="40"/>
  <c r="G219" i="40"/>
  <c r="H219" i="40"/>
  <c r="I219" i="40"/>
  <c r="A220" i="40"/>
  <c r="B220" i="40"/>
  <c r="C220" i="40"/>
  <c r="E220" i="40"/>
  <c r="F220" i="40"/>
  <c r="G220" i="40"/>
  <c r="H220" i="40"/>
  <c r="I220" i="40"/>
  <c r="A221" i="40"/>
  <c r="B221" i="40"/>
  <c r="C221" i="40"/>
  <c r="E221" i="40"/>
  <c r="F221" i="40"/>
  <c r="G221" i="40"/>
  <c r="H221" i="40"/>
  <c r="I221" i="40"/>
  <c r="A222" i="40"/>
  <c r="B222" i="40"/>
  <c r="C222" i="40"/>
  <c r="E222" i="40"/>
  <c r="F222" i="40"/>
  <c r="G222" i="40"/>
  <c r="H222" i="40"/>
  <c r="I222" i="40"/>
  <c r="A223" i="40"/>
  <c r="B223" i="40"/>
  <c r="C223" i="40"/>
  <c r="E223" i="40"/>
  <c r="F223" i="40"/>
  <c r="G223" i="40"/>
  <c r="H223" i="40"/>
  <c r="I223" i="40"/>
  <c r="A224" i="40"/>
  <c r="B224" i="40"/>
  <c r="C224" i="40"/>
  <c r="E224" i="40"/>
  <c r="F224" i="40"/>
  <c r="G224" i="40"/>
  <c r="H224" i="40"/>
  <c r="I224" i="40"/>
  <c r="A225" i="40"/>
  <c r="B225" i="40"/>
  <c r="C225" i="40"/>
  <c r="E225" i="40"/>
  <c r="F225" i="40"/>
  <c r="G225" i="40"/>
  <c r="H225" i="40"/>
  <c r="I225" i="40"/>
  <c r="A226" i="40"/>
  <c r="B226" i="40"/>
  <c r="C226" i="40"/>
  <c r="E226" i="40"/>
  <c r="F226" i="40"/>
  <c r="G226" i="40"/>
  <c r="H226" i="40"/>
  <c r="I226" i="40"/>
  <c r="A227" i="40"/>
  <c r="B227" i="40"/>
  <c r="C227" i="40"/>
  <c r="E227" i="40"/>
  <c r="F227" i="40"/>
  <c r="G227" i="40"/>
  <c r="H227" i="40"/>
  <c r="I227" i="40"/>
  <c r="C229" i="40"/>
  <c r="D229" i="40"/>
  <c r="E229" i="40"/>
  <c r="F229" i="40"/>
  <c r="A231" i="40"/>
  <c r="B231" i="40"/>
  <c r="C231" i="40"/>
  <c r="E231" i="40"/>
  <c r="F231" i="40"/>
  <c r="G231" i="40"/>
  <c r="H231" i="40"/>
  <c r="I231" i="40"/>
  <c r="A232" i="40"/>
  <c r="B232" i="40"/>
  <c r="C232" i="40"/>
  <c r="E232" i="40"/>
  <c r="F232" i="40"/>
  <c r="G232" i="40"/>
  <c r="H232" i="40"/>
  <c r="I232" i="40"/>
  <c r="A233" i="40"/>
  <c r="B233" i="40"/>
  <c r="C233" i="40"/>
  <c r="E233" i="40"/>
  <c r="F233" i="40"/>
  <c r="G233" i="40"/>
  <c r="H233" i="40"/>
  <c r="I233" i="40"/>
  <c r="A234" i="40"/>
  <c r="B234" i="40"/>
  <c r="C234" i="40"/>
  <c r="E234" i="40"/>
  <c r="F234" i="40"/>
  <c r="G234" i="40"/>
  <c r="H234" i="40"/>
  <c r="I234" i="40"/>
  <c r="A235" i="40"/>
  <c r="B235" i="40"/>
  <c r="C235" i="40"/>
  <c r="E235" i="40"/>
  <c r="F235" i="40"/>
  <c r="G235" i="40"/>
  <c r="H235" i="40"/>
  <c r="I235" i="40"/>
  <c r="A236" i="40"/>
  <c r="B236" i="40"/>
  <c r="C236" i="40"/>
  <c r="E236" i="40"/>
  <c r="F236" i="40"/>
  <c r="G236" i="40"/>
  <c r="H236" i="40"/>
  <c r="I236" i="40"/>
  <c r="A237" i="40"/>
  <c r="B237" i="40"/>
  <c r="C237" i="40"/>
  <c r="E237" i="40"/>
  <c r="F237" i="40"/>
  <c r="G237" i="40"/>
  <c r="H237" i="40"/>
  <c r="I237" i="40"/>
  <c r="A238" i="40"/>
  <c r="B238" i="40"/>
  <c r="C238" i="40"/>
  <c r="E238" i="40"/>
  <c r="F238" i="40"/>
  <c r="G238" i="40"/>
  <c r="H238" i="40"/>
  <c r="I238" i="40"/>
  <c r="A239" i="40"/>
  <c r="B239" i="40"/>
  <c r="C239" i="40"/>
  <c r="E239" i="40"/>
  <c r="F239" i="40"/>
  <c r="G239" i="40"/>
  <c r="H239" i="40"/>
  <c r="I239" i="40"/>
  <c r="A240" i="40"/>
  <c r="B240" i="40"/>
  <c r="C240" i="40"/>
  <c r="D240" i="40"/>
  <c r="E240" i="40"/>
  <c r="F240" i="40"/>
  <c r="G240" i="40"/>
  <c r="H240" i="40"/>
  <c r="I240" i="40"/>
  <c r="J240" i="40"/>
  <c r="A241" i="40"/>
  <c r="B241" i="40"/>
  <c r="C241" i="40"/>
  <c r="E241" i="40"/>
  <c r="F241" i="40"/>
  <c r="G241" i="40"/>
  <c r="H241" i="40"/>
  <c r="I241" i="40"/>
  <c r="A242" i="40"/>
  <c r="B242" i="40"/>
  <c r="C242" i="40"/>
  <c r="E242" i="40"/>
  <c r="F242" i="40"/>
  <c r="G242" i="40"/>
  <c r="H242" i="40"/>
  <c r="I242" i="40"/>
  <c r="A243" i="40"/>
  <c r="B243" i="40"/>
  <c r="C243" i="40"/>
  <c r="E243" i="40"/>
  <c r="F243" i="40"/>
  <c r="G243" i="40"/>
  <c r="H243" i="40"/>
  <c r="I243" i="40"/>
  <c r="A244" i="40"/>
  <c r="B244" i="40"/>
  <c r="C244" i="40"/>
  <c r="E244" i="40"/>
  <c r="F244" i="40"/>
  <c r="G244" i="40"/>
  <c r="H244" i="40"/>
  <c r="I244" i="40"/>
  <c r="A245" i="40"/>
  <c r="B245" i="40"/>
  <c r="C245" i="40"/>
  <c r="E245" i="40"/>
  <c r="F245" i="40"/>
  <c r="G245" i="40"/>
  <c r="H245" i="40"/>
  <c r="I245" i="40"/>
  <c r="A246" i="40"/>
  <c r="B246" i="40"/>
  <c r="C246" i="40"/>
  <c r="E246" i="40"/>
  <c r="F246" i="40"/>
  <c r="G246" i="40"/>
  <c r="H246" i="40"/>
  <c r="I246" i="40"/>
  <c r="A247" i="40"/>
  <c r="B247" i="40"/>
  <c r="C247" i="40"/>
  <c r="E247" i="40"/>
  <c r="F247" i="40"/>
  <c r="G247" i="40"/>
  <c r="H247" i="40"/>
  <c r="I247" i="40"/>
  <c r="A248" i="40"/>
  <c r="B248" i="40"/>
  <c r="C248" i="40"/>
  <c r="E248" i="40"/>
  <c r="F248" i="40"/>
  <c r="G248" i="40"/>
  <c r="H248" i="40"/>
  <c r="I248" i="40"/>
  <c r="A249" i="40"/>
  <c r="B249" i="40"/>
  <c r="C249" i="40"/>
  <c r="E249" i="40"/>
  <c r="F249" i="40"/>
  <c r="G249" i="40"/>
  <c r="H249" i="40"/>
  <c r="I249" i="40"/>
  <c r="A250" i="40"/>
  <c r="B250" i="40"/>
  <c r="C250" i="40"/>
  <c r="E250" i="40"/>
  <c r="F250" i="40"/>
  <c r="G250" i="40"/>
  <c r="H250" i="40"/>
  <c r="I250" i="40"/>
  <c r="A251" i="40"/>
  <c r="B251" i="40"/>
  <c r="C251" i="40"/>
  <c r="E251" i="40"/>
  <c r="F251" i="40"/>
  <c r="G251" i="40"/>
  <c r="H251" i="40"/>
  <c r="I251" i="40"/>
  <c r="A252" i="40"/>
  <c r="B252" i="40"/>
  <c r="C252" i="40"/>
  <c r="E252" i="40"/>
  <c r="F252" i="40"/>
  <c r="G252" i="40"/>
  <c r="H252" i="40"/>
  <c r="I252" i="40"/>
  <c r="A253" i="40"/>
  <c r="B253" i="40"/>
  <c r="A254" i="40"/>
  <c r="A255" i="40"/>
  <c r="B255" i="40"/>
  <c r="A256" i="40"/>
  <c r="B256" i="40"/>
  <c r="A260" i="40"/>
  <c r="B260" i="40"/>
  <c r="G261" i="40"/>
  <c r="H261" i="40"/>
  <c r="A273" i="40"/>
  <c r="B273" i="40"/>
  <c r="C273" i="40"/>
  <c r="F273" i="40"/>
  <c r="G273" i="40"/>
  <c r="A274" i="40"/>
  <c r="B274" i="40"/>
  <c r="C274" i="40"/>
  <c r="E274" i="40"/>
  <c r="F274" i="40"/>
  <c r="G274" i="40"/>
  <c r="A275" i="40"/>
  <c r="B275" i="40"/>
  <c r="C275" i="40"/>
  <c r="E275" i="40"/>
  <c r="F275" i="40"/>
  <c r="G275" i="40"/>
  <c r="A276" i="40"/>
  <c r="B276" i="40"/>
  <c r="C276" i="40"/>
  <c r="E276" i="40"/>
  <c r="F276" i="40"/>
  <c r="G276" i="40"/>
  <c r="A277" i="40"/>
  <c r="B277" i="40"/>
  <c r="C277" i="40"/>
  <c r="E277" i="40"/>
  <c r="F277" i="40"/>
  <c r="G277" i="40"/>
  <c r="A278" i="40"/>
  <c r="B278" i="40"/>
  <c r="C278" i="40"/>
  <c r="E278" i="40"/>
  <c r="F278" i="40"/>
  <c r="G278" i="40"/>
  <c r="A279" i="40"/>
  <c r="B279" i="40"/>
  <c r="C279" i="40"/>
  <c r="E279" i="40"/>
  <c r="F279" i="40"/>
  <c r="G279" i="40"/>
  <c r="A280" i="40"/>
  <c r="B280" i="40"/>
  <c r="C280" i="40"/>
  <c r="E280" i="40"/>
  <c r="F280" i="40"/>
  <c r="G280" i="40"/>
  <c r="A281" i="40"/>
  <c r="B281" i="40"/>
  <c r="C281" i="40"/>
  <c r="E281" i="40"/>
  <c r="F281" i="40"/>
  <c r="G281" i="40"/>
  <c r="A282" i="40"/>
  <c r="B282" i="40"/>
  <c r="C282" i="40"/>
  <c r="E282" i="40"/>
  <c r="F282" i="40"/>
  <c r="G282" i="40"/>
  <c r="A283" i="40"/>
  <c r="B283" i="40"/>
  <c r="C283" i="40"/>
  <c r="E283" i="40"/>
  <c r="F283" i="40"/>
  <c r="G283" i="40"/>
  <c r="A284" i="40"/>
  <c r="B284" i="40"/>
  <c r="C284" i="40"/>
  <c r="E284" i="40"/>
  <c r="F284" i="40"/>
  <c r="G284" i="40"/>
  <c r="A285" i="40"/>
  <c r="B285" i="40"/>
  <c r="C285" i="40"/>
  <c r="E285" i="40"/>
  <c r="F285" i="40"/>
  <c r="G285" i="40"/>
  <c r="A286" i="40"/>
  <c r="B286" i="40"/>
  <c r="C286" i="40"/>
  <c r="E286" i="40"/>
  <c r="F286" i="40"/>
  <c r="G286" i="40"/>
  <c r="A287" i="40"/>
  <c r="B287" i="40"/>
  <c r="C287" i="40"/>
  <c r="E287" i="40"/>
  <c r="F287" i="40"/>
  <c r="G287" i="40"/>
  <c r="A288" i="40"/>
  <c r="B288" i="40"/>
  <c r="C288" i="40"/>
  <c r="E288" i="40"/>
  <c r="F288" i="40"/>
  <c r="G288" i="40"/>
  <c r="A289" i="40"/>
  <c r="B289" i="40"/>
  <c r="C289" i="40"/>
  <c r="E289" i="40"/>
  <c r="F289" i="40"/>
  <c r="G289" i="40"/>
  <c r="A290" i="40"/>
  <c r="B290" i="40"/>
  <c r="C290" i="40"/>
  <c r="E290" i="40"/>
  <c r="F290" i="40"/>
  <c r="G290" i="40"/>
  <c r="A291" i="40"/>
  <c r="B291" i="40"/>
  <c r="C291" i="40"/>
  <c r="E291" i="40"/>
  <c r="F291" i="40"/>
  <c r="G291" i="40"/>
  <c r="A292" i="40"/>
  <c r="B292" i="40"/>
  <c r="C292" i="40"/>
  <c r="E292" i="40"/>
  <c r="F292" i="40"/>
  <c r="G292" i="40"/>
  <c r="A293" i="40"/>
  <c r="B293" i="40"/>
  <c r="C293" i="40"/>
  <c r="E293" i="40"/>
  <c r="F293" i="40"/>
  <c r="G293" i="40"/>
  <c r="A294" i="40"/>
  <c r="B294" i="40"/>
  <c r="C294" i="40"/>
  <c r="E294" i="40"/>
  <c r="F294" i="40"/>
  <c r="G294" i="40"/>
  <c r="H294" i="40"/>
  <c r="A295" i="40"/>
  <c r="B295" i="40"/>
  <c r="C295" i="40"/>
  <c r="E295" i="40"/>
  <c r="F295" i="40"/>
  <c r="G295" i="40"/>
  <c r="A296" i="40"/>
  <c r="B296" i="40"/>
  <c r="C296" i="40"/>
  <c r="E296" i="40"/>
  <c r="F296" i="40"/>
  <c r="G296" i="40"/>
  <c r="A297" i="40"/>
  <c r="B297" i="40"/>
  <c r="C297" i="40"/>
  <c r="E297" i="40"/>
  <c r="F297" i="40"/>
  <c r="G297" i="40"/>
  <c r="A298" i="40"/>
  <c r="B298" i="40"/>
  <c r="C298" i="40"/>
  <c r="E298" i="40"/>
  <c r="F298" i="40"/>
  <c r="G298" i="40"/>
  <c r="A299" i="40"/>
  <c r="B299" i="40"/>
  <c r="C299" i="40"/>
  <c r="E299" i="40"/>
  <c r="F299" i="40"/>
  <c r="G299" i="40"/>
  <c r="A300" i="40"/>
  <c r="B300" i="40"/>
  <c r="C300" i="40"/>
  <c r="E300" i="40"/>
  <c r="F300" i="40"/>
  <c r="G300" i="40"/>
  <c r="A301" i="40"/>
  <c r="B301" i="40"/>
  <c r="C301" i="40"/>
  <c r="E301" i="40"/>
  <c r="F301" i="40"/>
  <c r="G301" i="40"/>
  <c r="A302" i="40"/>
  <c r="B302" i="40"/>
  <c r="C302" i="40"/>
  <c r="E302" i="40"/>
  <c r="F302" i="40"/>
  <c r="G302" i="40"/>
  <c r="A303" i="40"/>
  <c r="B303" i="40"/>
  <c r="C303" i="40"/>
  <c r="E303" i="40"/>
  <c r="F303" i="40"/>
  <c r="G303" i="40"/>
  <c r="A304" i="40"/>
  <c r="B304" i="40"/>
  <c r="C304" i="40"/>
  <c r="E304" i="40"/>
  <c r="F304" i="40"/>
  <c r="G304" i="40"/>
  <c r="A305" i="40"/>
  <c r="B305" i="40"/>
  <c r="C305" i="40"/>
  <c r="E305" i="40"/>
  <c r="F305" i="40"/>
  <c r="G305" i="40"/>
  <c r="A306" i="40"/>
  <c r="B306" i="40"/>
  <c r="C306" i="40"/>
  <c r="E306" i="40"/>
  <c r="F306" i="40"/>
  <c r="G306" i="40"/>
  <c r="A307" i="40"/>
  <c r="B307" i="40"/>
  <c r="C307" i="40"/>
  <c r="E307" i="40"/>
  <c r="F307" i="40"/>
  <c r="G307" i="40"/>
  <c r="A308" i="40"/>
  <c r="B308" i="40"/>
  <c r="C308" i="40"/>
  <c r="E308" i="40"/>
  <c r="F308" i="40"/>
  <c r="G308" i="40"/>
  <c r="A309" i="40"/>
  <c r="B309" i="40"/>
  <c r="C309" i="40"/>
  <c r="E309" i="40"/>
  <c r="F309" i="40"/>
  <c r="G309" i="40"/>
  <c r="H309" i="40"/>
  <c r="A310" i="40"/>
  <c r="B310" i="40"/>
  <c r="C310" i="40"/>
  <c r="E310" i="40"/>
  <c r="F310" i="40"/>
  <c r="G310" i="40"/>
  <c r="A311" i="40"/>
  <c r="B311" i="40"/>
  <c r="C311" i="40"/>
  <c r="E311" i="40"/>
  <c r="F311" i="40"/>
  <c r="G311" i="40"/>
  <c r="A312" i="40"/>
  <c r="B312" i="40"/>
  <c r="C312" i="40"/>
  <c r="E312" i="40"/>
  <c r="F312" i="40"/>
  <c r="G312" i="40"/>
  <c r="A313" i="40"/>
  <c r="B313" i="40"/>
  <c r="C313" i="40"/>
  <c r="E313" i="40"/>
  <c r="F313" i="40"/>
  <c r="G313" i="40"/>
  <c r="A314" i="40"/>
  <c r="B314" i="40"/>
  <c r="C314" i="40"/>
  <c r="E314" i="40"/>
  <c r="F314" i="40"/>
  <c r="G314" i="40"/>
  <c r="A315" i="40"/>
  <c r="B315" i="40"/>
  <c r="C315" i="40"/>
  <c r="E315" i="40"/>
  <c r="F315" i="40"/>
  <c r="G315" i="40"/>
  <c r="A316" i="40"/>
  <c r="B316" i="40"/>
  <c r="C316" i="40"/>
  <c r="E316" i="40"/>
  <c r="F316" i="40"/>
  <c r="G316" i="40"/>
  <c r="A317" i="40"/>
  <c r="B317" i="40"/>
  <c r="C317" i="40"/>
  <c r="E317" i="40"/>
  <c r="F317" i="40"/>
  <c r="G317" i="40"/>
  <c r="A318" i="40"/>
  <c r="B318" i="40"/>
  <c r="C318" i="40"/>
  <c r="E318" i="40"/>
  <c r="F318" i="40"/>
  <c r="G318" i="40"/>
  <c r="A319" i="40"/>
  <c r="B319" i="40"/>
  <c r="C319" i="40"/>
  <c r="E319" i="40"/>
  <c r="F319" i="40"/>
  <c r="A320" i="40"/>
  <c r="B320" i="40"/>
  <c r="C320" i="40"/>
  <c r="D320" i="40"/>
  <c r="E320" i="40"/>
  <c r="F320" i="40"/>
  <c r="H320" i="40"/>
  <c r="A321" i="40"/>
  <c r="B321" i="40"/>
  <c r="C321" i="40"/>
  <c r="E321" i="40"/>
  <c r="F321" i="40"/>
  <c r="A322" i="40"/>
  <c r="B322" i="40"/>
  <c r="C322" i="40"/>
  <c r="E322" i="40"/>
  <c r="F322" i="40"/>
  <c r="A323" i="40"/>
  <c r="B323" i="40"/>
  <c r="C323" i="40"/>
  <c r="E323" i="40"/>
  <c r="F323" i="40"/>
  <c r="G323" i="40"/>
  <c r="A324" i="40"/>
  <c r="B324" i="40"/>
  <c r="C324" i="40"/>
  <c r="E324" i="40"/>
  <c r="F324" i="40"/>
  <c r="G324" i="40"/>
  <c r="A325" i="40"/>
  <c r="B325" i="40"/>
  <c r="C325" i="40"/>
  <c r="E325" i="40"/>
  <c r="F325" i="40"/>
  <c r="G325" i="40"/>
  <c r="A326" i="40"/>
  <c r="B326" i="40"/>
  <c r="C326" i="40"/>
  <c r="E326" i="40"/>
  <c r="F326" i="40"/>
  <c r="A327" i="40"/>
  <c r="B327" i="40"/>
  <c r="C327" i="40"/>
  <c r="E327" i="40"/>
  <c r="F327" i="40"/>
  <c r="A328" i="40"/>
  <c r="B328" i="40"/>
  <c r="C328" i="40"/>
  <c r="E328" i="40"/>
  <c r="F328" i="40"/>
  <c r="G328" i="40"/>
  <c r="H328" i="40"/>
  <c r="A329" i="40"/>
  <c r="B329" i="40"/>
  <c r="A340" i="40"/>
  <c r="B340" i="40"/>
  <c r="A341" i="40"/>
  <c r="C341" i="40"/>
  <c r="E341" i="40"/>
  <c r="F341" i="40"/>
  <c r="J341" i="40"/>
  <c r="A343" i="40"/>
  <c r="B343" i="40"/>
  <c r="C343" i="40"/>
  <c r="E343" i="40"/>
  <c r="F343" i="40"/>
  <c r="G343" i="40"/>
  <c r="H343" i="40"/>
  <c r="I343" i="40"/>
  <c r="A344" i="40"/>
  <c r="B344" i="40"/>
  <c r="C344" i="40"/>
  <c r="E344" i="40"/>
  <c r="F344" i="40"/>
  <c r="G344" i="40"/>
  <c r="H344" i="40"/>
  <c r="I344" i="40"/>
  <c r="A345" i="40"/>
  <c r="B345" i="40"/>
  <c r="C345" i="40"/>
  <c r="E345" i="40"/>
  <c r="F345" i="40"/>
  <c r="G345" i="40"/>
  <c r="H345" i="40"/>
  <c r="I345" i="40"/>
  <c r="A346" i="40"/>
  <c r="B346" i="40"/>
  <c r="C346" i="40"/>
  <c r="E346" i="40"/>
  <c r="F346" i="40"/>
  <c r="G346" i="40"/>
  <c r="H346" i="40"/>
  <c r="I346" i="40"/>
  <c r="A347" i="40"/>
  <c r="B347" i="40"/>
  <c r="C347" i="40"/>
  <c r="E347" i="40"/>
  <c r="F347" i="40"/>
  <c r="G347" i="40"/>
  <c r="H347" i="40"/>
  <c r="I347" i="40"/>
  <c r="A348" i="40"/>
  <c r="B348" i="40"/>
  <c r="C348" i="40"/>
  <c r="E348" i="40"/>
  <c r="F348" i="40"/>
  <c r="G348" i="40"/>
  <c r="H348" i="40"/>
  <c r="I348" i="40"/>
  <c r="A349" i="40"/>
  <c r="B349" i="40"/>
  <c r="C349" i="40"/>
  <c r="E349" i="40"/>
  <c r="F349" i="40"/>
  <c r="G349" i="40"/>
  <c r="H349" i="40"/>
  <c r="I349" i="40"/>
  <c r="A350" i="40"/>
  <c r="B350" i="40"/>
  <c r="C350" i="40"/>
  <c r="E350" i="40"/>
  <c r="F350" i="40"/>
  <c r="G350" i="40"/>
  <c r="H350" i="40"/>
  <c r="I350" i="40"/>
  <c r="A351" i="40"/>
  <c r="B351" i="40"/>
  <c r="C351" i="40"/>
  <c r="E351" i="40"/>
  <c r="F351" i="40"/>
  <c r="G351" i="40"/>
  <c r="H351" i="40"/>
  <c r="I351" i="40"/>
  <c r="A352" i="40"/>
  <c r="B352" i="40"/>
  <c r="C352" i="40"/>
  <c r="D352" i="40"/>
  <c r="E352" i="40"/>
  <c r="F352" i="40"/>
  <c r="G352" i="40"/>
  <c r="H352" i="40"/>
  <c r="I352" i="40"/>
  <c r="J352" i="40"/>
  <c r="A353" i="40"/>
  <c r="B353" i="40"/>
  <c r="C353" i="40"/>
  <c r="E353" i="40"/>
  <c r="F353" i="40"/>
  <c r="G353" i="40"/>
  <c r="H353" i="40"/>
  <c r="I353" i="40"/>
  <c r="A354" i="40"/>
  <c r="B354" i="40"/>
  <c r="C354" i="40"/>
  <c r="E354" i="40"/>
  <c r="F354" i="40"/>
  <c r="G354" i="40"/>
  <c r="H354" i="40"/>
  <c r="I354" i="40"/>
  <c r="A355" i="40"/>
  <c r="B355" i="40"/>
  <c r="C355" i="40"/>
  <c r="D355" i="40"/>
  <c r="E355" i="40"/>
  <c r="F355" i="40"/>
  <c r="G355" i="40"/>
  <c r="H355" i="40"/>
  <c r="I355" i="40"/>
  <c r="J355" i="40"/>
  <c r="A356" i="40"/>
  <c r="B356" i="40"/>
  <c r="C356" i="40"/>
  <c r="D356" i="40"/>
  <c r="E356" i="40"/>
  <c r="F356" i="40"/>
  <c r="G356" i="40"/>
  <c r="H356" i="40"/>
  <c r="I356" i="40"/>
  <c r="J356" i="40"/>
  <c r="A357" i="40"/>
  <c r="B357" i="40"/>
  <c r="C357" i="40"/>
  <c r="E357" i="40"/>
  <c r="F357" i="40"/>
  <c r="G357" i="40"/>
  <c r="H357" i="40"/>
  <c r="I357" i="40"/>
  <c r="A358" i="40"/>
  <c r="B358" i="40"/>
  <c r="C358" i="40"/>
  <c r="E358" i="40"/>
  <c r="F358" i="40"/>
  <c r="G358" i="40"/>
  <c r="H358" i="40"/>
  <c r="I358" i="40"/>
  <c r="A359" i="40"/>
  <c r="B359" i="40"/>
  <c r="C359" i="40"/>
  <c r="D359" i="40"/>
  <c r="E359" i="40"/>
  <c r="F359" i="40"/>
  <c r="G359" i="40"/>
  <c r="H359" i="40"/>
  <c r="I359" i="40"/>
  <c r="J359" i="40"/>
  <c r="A360" i="40"/>
  <c r="B360" i="40"/>
  <c r="C360" i="40"/>
  <c r="E360" i="40"/>
  <c r="F360" i="40"/>
  <c r="G360" i="40"/>
  <c r="H360" i="40"/>
  <c r="I360" i="40"/>
  <c r="A361" i="40"/>
  <c r="B361" i="40"/>
  <c r="C361" i="40"/>
  <c r="E361" i="40"/>
  <c r="F361" i="40"/>
  <c r="G361" i="40"/>
  <c r="H361" i="40"/>
  <c r="I361" i="40"/>
  <c r="A362" i="40"/>
  <c r="B362" i="40"/>
  <c r="C362" i="40"/>
  <c r="E362" i="40"/>
  <c r="F362" i="40"/>
  <c r="G362" i="40"/>
  <c r="H362" i="40"/>
  <c r="I362" i="40"/>
  <c r="A363" i="40"/>
  <c r="B363" i="40"/>
  <c r="C363" i="40"/>
  <c r="E363" i="40"/>
  <c r="F363" i="40"/>
  <c r="G363" i="40"/>
  <c r="H363" i="40"/>
  <c r="I363" i="40"/>
  <c r="A364" i="40"/>
  <c r="B364" i="40"/>
  <c r="C364" i="40"/>
  <c r="E364" i="40"/>
  <c r="F364" i="40"/>
  <c r="G364" i="40"/>
  <c r="H364" i="40"/>
  <c r="I364" i="40"/>
  <c r="A365" i="40"/>
  <c r="B365" i="40"/>
  <c r="C365" i="40"/>
  <c r="E365" i="40"/>
  <c r="F365" i="40"/>
  <c r="G365" i="40"/>
  <c r="H365" i="40"/>
  <c r="I365" i="40"/>
  <c r="A366" i="40"/>
  <c r="B366" i="40"/>
  <c r="C366" i="40"/>
  <c r="E366" i="40"/>
  <c r="F366" i="40"/>
  <c r="G366" i="40"/>
  <c r="H366" i="40"/>
  <c r="I366" i="40"/>
  <c r="A367" i="40"/>
  <c r="B367" i="40"/>
  <c r="C367" i="40"/>
  <c r="E367" i="40"/>
  <c r="F367" i="40"/>
  <c r="G367" i="40"/>
  <c r="H367" i="40"/>
  <c r="I367" i="40"/>
  <c r="A368" i="40"/>
  <c r="B368" i="40"/>
  <c r="C368" i="40"/>
  <c r="E368" i="40"/>
  <c r="F368" i="40"/>
  <c r="G368" i="40"/>
  <c r="H368" i="40"/>
  <c r="I368" i="40"/>
  <c r="A369" i="40"/>
  <c r="B369" i="40"/>
  <c r="C369" i="40"/>
  <c r="D369" i="40"/>
  <c r="E369" i="40"/>
  <c r="F369" i="40"/>
  <c r="G369" i="40"/>
  <c r="H369" i="40"/>
  <c r="I369" i="40"/>
  <c r="J369" i="40"/>
  <c r="A370" i="40"/>
  <c r="B370" i="40"/>
  <c r="C370" i="40"/>
  <c r="E370" i="40"/>
  <c r="F370" i="40"/>
  <c r="G370" i="40"/>
  <c r="H370" i="40"/>
  <c r="I370" i="40"/>
  <c r="A371" i="40"/>
  <c r="B371" i="40"/>
  <c r="C371" i="40"/>
  <c r="E371" i="40"/>
  <c r="F371" i="40"/>
  <c r="G371" i="40"/>
  <c r="H371" i="40"/>
  <c r="I371" i="40"/>
  <c r="A372" i="40"/>
  <c r="B372" i="40"/>
  <c r="C372" i="40"/>
  <c r="D372" i="40"/>
  <c r="E372" i="40"/>
  <c r="F372" i="40"/>
  <c r="G372" i="40"/>
  <c r="H372" i="40"/>
  <c r="I372" i="40"/>
  <c r="J372" i="40"/>
  <c r="A373" i="40"/>
  <c r="B373" i="40"/>
  <c r="C373" i="40"/>
  <c r="E373" i="40"/>
  <c r="F373" i="40"/>
  <c r="G373" i="40"/>
  <c r="H373" i="40"/>
  <c r="I373" i="40"/>
  <c r="A374" i="40"/>
  <c r="B374" i="40"/>
  <c r="C374" i="40"/>
  <c r="E374" i="40"/>
  <c r="F374" i="40"/>
  <c r="G374" i="40"/>
  <c r="H374" i="40"/>
  <c r="I374" i="40"/>
  <c r="A375" i="40"/>
  <c r="B375" i="40"/>
  <c r="C375" i="40"/>
  <c r="E375" i="40"/>
  <c r="F375" i="40"/>
  <c r="G375" i="40"/>
  <c r="H375" i="40"/>
  <c r="I375" i="40"/>
  <c r="A376" i="40"/>
  <c r="B376" i="40"/>
  <c r="C376" i="40"/>
  <c r="E376" i="40"/>
  <c r="F376" i="40"/>
  <c r="G376" i="40"/>
  <c r="H376" i="40"/>
  <c r="I376" i="40"/>
  <c r="A377" i="40"/>
  <c r="B377" i="40"/>
  <c r="C377" i="40"/>
  <c r="E377" i="40"/>
  <c r="F377" i="40"/>
  <c r="G377" i="40"/>
  <c r="H377" i="40"/>
  <c r="I377" i="40"/>
  <c r="A378" i="40"/>
  <c r="B378" i="40"/>
  <c r="C378" i="40"/>
  <c r="E378" i="40"/>
  <c r="F378" i="40"/>
  <c r="G378" i="40"/>
  <c r="H378" i="40"/>
  <c r="I378" i="40"/>
  <c r="A379" i="40"/>
  <c r="B379" i="40"/>
  <c r="C379" i="40"/>
  <c r="E379" i="40"/>
  <c r="F379" i="40"/>
  <c r="G379" i="40"/>
  <c r="H379" i="40"/>
  <c r="I379" i="40"/>
  <c r="A380" i="40"/>
  <c r="B380" i="40"/>
  <c r="C380" i="40"/>
  <c r="E380" i="40"/>
  <c r="F380" i="40"/>
  <c r="G380" i="40"/>
  <c r="H380" i="40"/>
  <c r="I380" i="40"/>
  <c r="A381" i="40"/>
  <c r="B381" i="40"/>
  <c r="C381" i="40"/>
  <c r="E381" i="40"/>
  <c r="F381" i="40"/>
  <c r="G381" i="40"/>
  <c r="H381" i="40"/>
  <c r="I381" i="40"/>
  <c r="A382" i="40"/>
  <c r="B382" i="40"/>
  <c r="C382" i="40"/>
  <c r="E382" i="40"/>
  <c r="F382" i="40"/>
  <c r="G382" i="40"/>
  <c r="H382" i="40"/>
  <c r="I382" i="40"/>
  <c r="A383" i="40"/>
  <c r="B383" i="40"/>
  <c r="C383" i="40"/>
  <c r="E383" i="40"/>
  <c r="F383" i="40"/>
  <c r="G383" i="40"/>
  <c r="H383" i="40"/>
  <c r="I383" i="40"/>
  <c r="A384" i="40"/>
  <c r="B384" i="40"/>
  <c r="C384" i="40"/>
  <c r="E384" i="40"/>
  <c r="F384" i="40"/>
  <c r="G384" i="40"/>
  <c r="H384" i="40"/>
  <c r="I384" i="40"/>
  <c r="A385" i="40"/>
  <c r="B385" i="40"/>
  <c r="C385" i="40"/>
  <c r="E385" i="40"/>
  <c r="F385" i="40"/>
  <c r="G385" i="40"/>
  <c r="H385" i="40"/>
  <c r="I385" i="40"/>
  <c r="A386" i="40"/>
  <c r="B386" i="40"/>
  <c r="C386" i="40"/>
  <c r="E386" i="40"/>
  <c r="F386" i="40"/>
  <c r="G386" i="40"/>
  <c r="H386" i="40"/>
  <c r="I386" i="40"/>
  <c r="A387" i="40"/>
  <c r="B387" i="40"/>
  <c r="C387" i="40"/>
  <c r="E387" i="40"/>
  <c r="F387" i="40"/>
  <c r="G387" i="40"/>
  <c r="H387" i="40"/>
  <c r="I387" i="40"/>
  <c r="A388" i="40"/>
  <c r="B388" i="40"/>
  <c r="C388" i="40"/>
  <c r="E388" i="40"/>
  <c r="F388" i="40"/>
  <c r="G388" i="40"/>
  <c r="H388" i="40"/>
  <c r="I388" i="40"/>
  <c r="A391" i="40"/>
  <c r="B391" i="40"/>
  <c r="C391" i="40"/>
  <c r="E391" i="40"/>
  <c r="F391" i="40"/>
  <c r="G391" i="40"/>
  <c r="H391" i="40"/>
  <c r="I391" i="40"/>
  <c r="J391" i="40"/>
  <c r="A392" i="40"/>
  <c r="B392" i="40"/>
  <c r="A393" i="40"/>
  <c r="B393" i="40"/>
  <c r="A394" i="40"/>
  <c r="B394" i="40"/>
  <c r="A396" i="40"/>
  <c r="B396" i="40"/>
  <c r="A397" i="40"/>
  <c r="B397" i="40"/>
  <c r="A401" i="40"/>
  <c r="B401" i="40"/>
  <c r="A402" i="40"/>
  <c r="C402" i="40"/>
  <c r="E402" i="40"/>
  <c r="F402" i="40"/>
  <c r="J402" i="40"/>
  <c r="A404" i="40"/>
  <c r="B404" i="40"/>
  <c r="C404" i="40"/>
  <c r="E404" i="40"/>
  <c r="F404" i="40"/>
  <c r="G404" i="40"/>
  <c r="H404" i="40"/>
  <c r="I404" i="40"/>
  <c r="A405" i="40"/>
  <c r="B405" i="40"/>
  <c r="C405" i="40"/>
  <c r="E405" i="40"/>
  <c r="F405" i="40"/>
  <c r="G405" i="40"/>
  <c r="H405" i="40"/>
  <c r="I405" i="40"/>
  <c r="A406" i="40"/>
  <c r="B406" i="40"/>
  <c r="C406" i="40"/>
  <c r="E406" i="40"/>
  <c r="F406" i="40"/>
  <c r="G406" i="40"/>
  <c r="H406" i="40"/>
  <c r="I406" i="40"/>
  <c r="A407" i="40"/>
  <c r="B407" i="40"/>
  <c r="C407" i="40"/>
  <c r="E407" i="40"/>
  <c r="F407" i="40"/>
  <c r="G407" i="40"/>
  <c r="H407" i="40"/>
  <c r="I407" i="40"/>
  <c r="A408" i="40"/>
  <c r="B408" i="40"/>
  <c r="C408" i="40"/>
  <c r="E408" i="40"/>
  <c r="F408" i="40"/>
  <c r="G408" i="40"/>
  <c r="H408" i="40"/>
  <c r="I408" i="40"/>
  <c r="A409" i="40"/>
  <c r="B409" i="40"/>
  <c r="C409" i="40"/>
  <c r="E409" i="40"/>
  <c r="F409" i="40"/>
  <c r="G409" i="40"/>
  <c r="H409" i="40"/>
  <c r="I409" i="40"/>
  <c r="A410" i="40"/>
  <c r="B410" i="40"/>
  <c r="C410" i="40"/>
  <c r="E410" i="40"/>
  <c r="F410" i="40"/>
  <c r="G410" i="40"/>
  <c r="H410" i="40"/>
  <c r="I410" i="40"/>
  <c r="A411" i="40"/>
  <c r="B411" i="40"/>
  <c r="C411" i="40"/>
  <c r="E411" i="40"/>
  <c r="F411" i="40"/>
  <c r="G411" i="40"/>
  <c r="H411" i="40"/>
  <c r="I411" i="40"/>
  <c r="A412" i="40"/>
  <c r="B412" i="40"/>
  <c r="C412" i="40"/>
  <c r="E412" i="40"/>
  <c r="F412" i="40"/>
  <c r="G412" i="40"/>
  <c r="H412" i="40"/>
  <c r="I412" i="40"/>
  <c r="A413" i="40"/>
  <c r="B413" i="40"/>
  <c r="C413" i="40"/>
  <c r="D413" i="40"/>
  <c r="E413" i="40"/>
  <c r="F413" i="40"/>
  <c r="G413" i="40"/>
  <c r="H413" i="40"/>
  <c r="I413" i="40"/>
  <c r="J413" i="40"/>
  <c r="A414" i="40"/>
  <c r="B414" i="40"/>
  <c r="C414" i="40"/>
  <c r="E414" i="40"/>
  <c r="F414" i="40"/>
  <c r="G414" i="40"/>
  <c r="H414" i="40"/>
  <c r="I414" i="40"/>
  <c r="A415" i="40"/>
  <c r="B415" i="40"/>
  <c r="C415" i="40"/>
  <c r="E415" i="40"/>
  <c r="F415" i="40"/>
  <c r="G415" i="40"/>
  <c r="H415" i="40"/>
  <c r="I415" i="40"/>
  <c r="A416" i="40"/>
  <c r="B416" i="40"/>
  <c r="C416" i="40"/>
  <c r="E416" i="40"/>
  <c r="F416" i="40"/>
  <c r="G416" i="40"/>
  <c r="H416" i="40"/>
  <c r="I416" i="40"/>
  <c r="A417" i="40"/>
  <c r="B417" i="40"/>
  <c r="C417" i="40"/>
  <c r="D417" i="40"/>
  <c r="E417" i="40"/>
  <c r="F417" i="40"/>
  <c r="G417" i="40"/>
  <c r="H417" i="40"/>
  <c r="I417" i="40"/>
  <c r="J417" i="40"/>
  <c r="A418" i="40"/>
  <c r="B418" i="40"/>
  <c r="C418" i="40"/>
  <c r="E418" i="40"/>
  <c r="F418" i="40"/>
  <c r="G418" i="40"/>
  <c r="H418" i="40"/>
  <c r="I418" i="40"/>
  <c r="A419" i="40"/>
  <c r="B419" i="40"/>
  <c r="C419" i="40"/>
  <c r="D419" i="40"/>
  <c r="E419" i="40"/>
  <c r="F419" i="40"/>
  <c r="G419" i="40"/>
  <c r="H419" i="40"/>
  <c r="I419" i="40"/>
  <c r="J419" i="40"/>
  <c r="A420" i="40"/>
  <c r="B420" i="40"/>
  <c r="C420" i="40"/>
  <c r="E420" i="40"/>
  <c r="F420" i="40"/>
  <c r="G420" i="40"/>
  <c r="H420" i="40"/>
  <c r="I420" i="40"/>
  <c r="A421" i="40"/>
  <c r="B421" i="40"/>
  <c r="C421" i="40"/>
  <c r="E421" i="40"/>
  <c r="F421" i="40"/>
  <c r="G421" i="40"/>
  <c r="H421" i="40"/>
  <c r="I421" i="40"/>
  <c r="A422" i="40"/>
  <c r="B422" i="40"/>
  <c r="C422" i="40"/>
  <c r="E422" i="40"/>
  <c r="F422" i="40"/>
  <c r="G422" i="40"/>
  <c r="H422" i="40"/>
  <c r="I422" i="40"/>
  <c r="A423" i="40"/>
  <c r="B423" i="40"/>
  <c r="C423" i="40"/>
  <c r="E423" i="40"/>
  <c r="F423" i="40"/>
  <c r="G423" i="40"/>
  <c r="H423" i="40"/>
  <c r="I423" i="40"/>
  <c r="A424" i="40"/>
  <c r="B424" i="40"/>
  <c r="C424" i="40"/>
  <c r="E424" i="40"/>
  <c r="F424" i="40"/>
  <c r="G424" i="40"/>
  <c r="H424" i="40"/>
  <c r="I424" i="40"/>
  <c r="A425" i="40"/>
  <c r="B425" i="40"/>
  <c r="C425" i="40"/>
  <c r="E425" i="40"/>
  <c r="F425" i="40"/>
  <c r="G425" i="40"/>
  <c r="H425" i="40"/>
  <c r="I425" i="40"/>
  <c r="A426" i="40"/>
  <c r="B426" i="40"/>
  <c r="C426" i="40"/>
  <c r="D426" i="40"/>
  <c r="E426" i="40"/>
  <c r="F426" i="40"/>
  <c r="G426" i="40"/>
  <c r="H426" i="40"/>
  <c r="I426" i="40"/>
  <c r="J426" i="40"/>
  <c r="A427" i="40"/>
  <c r="B427" i="40"/>
  <c r="C427" i="40"/>
  <c r="E427" i="40"/>
  <c r="F427" i="40"/>
  <c r="G427" i="40"/>
  <c r="H427" i="40"/>
  <c r="I427" i="40"/>
  <c r="A428" i="40"/>
  <c r="B428" i="40"/>
  <c r="C428" i="40"/>
  <c r="E428" i="40"/>
  <c r="F428" i="40"/>
  <c r="G428" i="40"/>
  <c r="H428" i="40"/>
  <c r="I428" i="40"/>
  <c r="A429" i="40"/>
  <c r="B429" i="40"/>
  <c r="C429" i="40"/>
  <c r="D429" i="40"/>
  <c r="E429" i="40"/>
  <c r="F429" i="40"/>
  <c r="G429" i="40"/>
  <c r="H429" i="40"/>
  <c r="I429" i="40"/>
  <c r="J429" i="40"/>
  <c r="A430" i="40"/>
  <c r="B430" i="40"/>
  <c r="C430" i="40"/>
  <c r="E430" i="40"/>
  <c r="F430" i="40"/>
  <c r="G430" i="40"/>
  <c r="H430" i="40"/>
  <c r="I430" i="40"/>
  <c r="A431" i="40"/>
  <c r="B431" i="40"/>
  <c r="C431" i="40"/>
  <c r="E431" i="40"/>
  <c r="F431" i="40"/>
  <c r="G431" i="40"/>
  <c r="H431" i="40"/>
  <c r="I431" i="40"/>
  <c r="A432" i="40"/>
  <c r="B432" i="40"/>
  <c r="C432" i="40"/>
  <c r="E432" i="40"/>
  <c r="F432" i="40"/>
  <c r="G432" i="40"/>
  <c r="H432" i="40"/>
  <c r="I432" i="40"/>
  <c r="A433" i="40"/>
  <c r="B433" i="40"/>
  <c r="C433" i="40"/>
  <c r="E433" i="40"/>
  <c r="F433" i="40"/>
  <c r="G433" i="40"/>
  <c r="H433" i="40"/>
  <c r="I433" i="40"/>
  <c r="A434" i="40"/>
  <c r="B434" i="40"/>
  <c r="C434" i="40"/>
  <c r="E434" i="40"/>
  <c r="F434" i="40"/>
  <c r="G434" i="40"/>
  <c r="H434" i="40"/>
  <c r="I434" i="40"/>
  <c r="A435" i="40"/>
  <c r="B435" i="40"/>
  <c r="C435" i="40"/>
  <c r="E435" i="40"/>
  <c r="F435" i="40"/>
  <c r="G435" i="40"/>
  <c r="H435" i="40"/>
  <c r="I435" i="40"/>
  <c r="A436" i="40"/>
  <c r="B436" i="40"/>
  <c r="C436" i="40"/>
  <c r="E436" i="40"/>
  <c r="F436" i="40"/>
  <c r="G436" i="40"/>
  <c r="H436" i="40"/>
  <c r="I436" i="40"/>
  <c r="A437" i="40"/>
  <c r="B437" i="40"/>
  <c r="C437" i="40"/>
  <c r="E437" i="40"/>
  <c r="F437" i="40"/>
  <c r="G437" i="40"/>
  <c r="H437" i="40"/>
  <c r="I437" i="40"/>
  <c r="A438" i="40"/>
  <c r="B438" i="40"/>
  <c r="C438" i="40"/>
  <c r="E438" i="40"/>
  <c r="F438" i="40"/>
  <c r="G438" i="40"/>
  <c r="H438" i="40"/>
  <c r="I438" i="40"/>
  <c r="A439" i="40"/>
  <c r="B439" i="40"/>
  <c r="C439" i="40"/>
  <c r="E439" i="40"/>
  <c r="F439" i="40"/>
  <c r="G439" i="40"/>
  <c r="H439" i="40"/>
  <c r="I439" i="40"/>
  <c r="A440" i="40"/>
  <c r="B440" i="40"/>
  <c r="C440" i="40"/>
  <c r="E440" i="40"/>
  <c r="F440" i="40"/>
  <c r="G440" i="40"/>
  <c r="H440" i="40"/>
  <c r="I440" i="40"/>
  <c r="A441" i="40"/>
  <c r="B441" i="40"/>
  <c r="C441" i="40"/>
  <c r="E441" i="40"/>
  <c r="F441" i="40"/>
  <c r="G441" i="40"/>
  <c r="H441" i="40"/>
  <c r="I441" i="40"/>
  <c r="A442" i="40"/>
  <c r="B442" i="40"/>
  <c r="C442" i="40"/>
  <c r="E442" i="40"/>
  <c r="F442" i="40"/>
  <c r="G442" i="40"/>
  <c r="H442" i="40"/>
  <c r="I442" i="40"/>
  <c r="A443" i="40"/>
  <c r="B443" i="40"/>
  <c r="C443" i="40"/>
  <c r="E443" i="40"/>
  <c r="F443" i="40"/>
  <c r="G443" i="40"/>
  <c r="H443" i="40"/>
  <c r="I443" i="40"/>
  <c r="A444" i="40"/>
  <c r="B444" i="40"/>
  <c r="C444" i="40"/>
  <c r="E444" i="40"/>
  <c r="F444" i="40"/>
  <c r="G444" i="40"/>
  <c r="H444" i="40"/>
  <c r="I444" i="40"/>
  <c r="A445" i="40"/>
  <c r="B445" i="40"/>
  <c r="C445" i="40"/>
  <c r="D445" i="40"/>
  <c r="E445" i="40"/>
  <c r="F445" i="40"/>
  <c r="G445" i="40"/>
  <c r="H445" i="40"/>
  <c r="I445" i="40"/>
  <c r="A446" i="40"/>
  <c r="B446" i="40"/>
  <c r="C446" i="40"/>
  <c r="E446" i="40"/>
  <c r="F446" i="40"/>
  <c r="G446" i="40"/>
  <c r="H446" i="40"/>
  <c r="I446" i="40"/>
  <c r="A447" i="40"/>
  <c r="B447" i="40"/>
  <c r="C447" i="40"/>
  <c r="E447" i="40"/>
  <c r="F447" i="40"/>
  <c r="G447" i="40"/>
  <c r="H447" i="40"/>
  <c r="I447" i="40"/>
  <c r="J447" i="40"/>
  <c r="A448" i="40"/>
  <c r="B448" i="40"/>
  <c r="A449" i="40"/>
  <c r="B449" i="40"/>
  <c r="A453" i="40"/>
  <c r="B453" i="40"/>
  <c r="A455" i="40"/>
  <c r="C455" i="40"/>
  <c r="E455" i="40"/>
  <c r="F455" i="40"/>
  <c r="A457" i="40"/>
  <c r="B457" i="40"/>
  <c r="C457" i="40"/>
  <c r="E457" i="40"/>
  <c r="F457" i="40"/>
  <c r="G457" i="40"/>
  <c r="H457" i="40"/>
  <c r="I457" i="40"/>
  <c r="A458" i="40"/>
  <c r="B458" i="40"/>
  <c r="C458" i="40"/>
  <c r="E458" i="40"/>
  <c r="F458" i="40"/>
  <c r="G458" i="40"/>
  <c r="H458" i="40"/>
  <c r="I458" i="40"/>
  <c r="A459" i="40"/>
  <c r="B459" i="40"/>
  <c r="C459" i="40"/>
  <c r="E459" i="40"/>
  <c r="F459" i="40"/>
  <c r="G459" i="40"/>
  <c r="H459" i="40"/>
  <c r="I459" i="40"/>
  <c r="A460" i="40"/>
  <c r="B460" i="40"/>
  <c r="C460" i="40"/>
  <c r="E460" i="40"/>
  <c r="F460" i="40"/>
  <c r="G460" i="40"/>
  <c r="H460" i="40"/>
  <c r="I460" i="40"/>
  <c r="A461" i="40"/>
  <c r="B461" i="40"/>
  <c r="C461" i="40"/>
  <c r="E461" i="40"/>
  <c r="F461" i="40"/>
  <c r="G461" i="40"/>
  <c r="H461" i="40"/>
  <c r="I461" i="40"/>
  <c r="A462" i="40"/>
  <c r="B462" i="40"/>
  <c r="C462" i="40"/>
  <c r="E462" i="40"/>
  <c r="F462" i="40"/>
  <c r="G462" i="40"/>
  <c r="H462" i="40"/>
  <c r="I462" i="40"/>
  <c r="A463" i="40"/>
  <c r="B463" i="40"/>
  <c r="C463" i="40"/>
  <c r="E463" i="40"/>
  <c r="F463" i="40"/>
  <c r="G463" i="40"/>
  <c r="H463" i="40"/>
  <c r="I463" i="40"/>
  <c r="A464" i="40"/>
  <c r="B464" i="40"/>
  <c r="C464" i="40"/>
  <c r="E464" i="40"/>
  <c r="F464" i="40"/>
  <c r="G464" i="40"/>
  <c r="H464" i="40"/>
  <c r="I464" i="40"/>
  <c r="A465" i="40"/>
  <c r="B465" i="40"/>
  <c r="C465" i="40"/>
  <c r="E465" i="40"/>
  <c r="F465" i="40"/>
  <c r="G465" i="40"/>
  <c r="H465" i="40"/>
  <c r="I465" i="40"/>
  <c r="A466" i="40"/>
  <c r="B466" i="40"/>
  <c r="C466" i="40"/>
  <c r="D466" i="40"/>
  <c r="E466" i="40"/>
  <c r="F466" i="40"/>
  <c r="G466" i="40"/>
  <c r="H466" i="40"/>
  <c r="I466" i="40"/>
  <c r="J466" i="40"/>
  <c r="A467" i="40"/>
  <c r="B467" i="40"/>
  <c r="C467" i="40"/>
  <c r="E467" i="40"/>
  <c r="F467" i="40"/>
  <c r="G467" i="40"/>
  <c r="H467" i="40"/>
  <c r="I467" i="40"/>
  <c r="A468" i="40"/>
  <c r="B468" i="40"/>
  <c r="C468" i="40"/>
  <c r="E468" i="40"/>
  <c r="F468" i="40"/>
  <c r="G468" i="40"/>
  <c r="H468" i="40"/>
  <c r="I468" i="40"/>
  <c r="A469" i="40"/>
  <c r="B469" i="40"/>
  <c r="C469" i="40"/>
  <c r="E469" i="40"/>
  <c r="F469" i="40"/>
  <c r="G469" i="40"/>
  <c r="H469" i="40"/>
  <c r="I469" i="40"/>
  <c r="A470" i="40"/>
  <c r="B470" i="40"/>
  <c r="C470" i="40"/>
  <c r="E470" i="40"/>
  <c r="F470" i="40"/>
  <c r="G470" i="40"/>
  <c r="H470" i="40"/>
  <c r="I470" i="40"/>
  <c r="A471" i="40"/>
  <c r="B471" i="40"/>
  <c r="C471" i="40"/>
  <c r="E471" i="40"/>
  <c r="F471" i="40"/>
  <c r="G471" i="40"/>
  <c r="H471" i="40"/>
  <c r="I471" i="40"/>
  <c r="A472" i="40"/>
  <c r="B472" i="40"/>
  <c r="C472" i="40"/>
  <c r="E472" i="40"/>
  <c r="F472" i="40"/>
  <c r="G472" i="40"/>
  <c r="H472" i="40"/>
  <c r="I472" i="40"/>
  <c r="A473" i="40"/>
  <c r="B473" i="40"/>
  <c r="C473" i="40"/>
  <c r="E473" i="40"/>
  <c r="F473" i="40"/>
  <c r="G473" i="40"/>
  <c r="H473" i="40"/>
  <c r="I473" i="40"/>
  <c r="A474" i="40"/>
  <c r="B474" i="40"/>
  <c r="C474" i="40"/>
  <c r="E474" i="40"/>
  <c r="F474" i="40"/>
  <c r="G474" i="40"/>
  <c r="H474" i="40"/>
  <c r="I474" i="40"/>
  <c r="A475" i="40"/>
  <c r="B475" i="40"/>
  <c r="C475" i="40"/>
  <c r="E475" i="40"/>
  <c r="F475" i="40"/>
  <c r="G475" i="40"/>
  <c r="H475" i="40"/>
  <c r="I475" i="40"/>
  <c r="A476" i="40"/>
  <c r="B476" i="40"/>
  <c r="C476" i="40"/>
  <c r="E476" i="40"/>
  <c r="F476" i="40"/>
  <c r="G476" i="40"/>
  <c r="H476" i="40"/>
  <c r="I476" i="40"/>
  <c r="A477" i="40"/>
  <c r="B477" i="40"/>
  <c r="C477" i="40"/>
  <c r="E477" i="40"/>
  <c r="F477" i="40"/>
  <c r="G477" i="40"/>
  <c r="H477" i="40"/>
  <c r="I477" i="40"/>
  <c r="A478" i="40"/>
  <c r="B478" i="40"/>
  <c r="C478" i="40"/>
  <c r="E478" i="40"/>
  <c r="F478" i="40"/>
  <c r="G478" i="40"/>
  <c r="H478" i="40"/>
  <c r="I478" i="40"/>
  <c r="A479" i="40"/>
  <c r="B479" i="40"/>
  <c r="C479" i="40"/>
  <c r="E479" i="40"/>
  <c r="F479" i="40"/>
  <c r="G479" i="40"/>
  <c r="H479" i="40"/>
  <c r="I479" i="40"/>
  <c r="A480" i="40"/>
  <c r="B480" i="40"/>
  <c r="C480" i="40"/>
  <c r="E480" i="40"/>
  <c r="F480" i="40"/>
  <c r="G480" i="40"/>
  <c r="H480" i="40"/>
  <c r="I480" i="40"/>
  <c r="A481" i="40"/>
  <c r="B481" i="40"/>
  <c r="C481" i="40"/>
  <c r="E481" i="40"/>
  <c r="F481" i="40"/>
  <c r="G481" i="40"/>
  <c r="H481" i="40"/>
  <c r="I481" i="40"/>
  <c r="A482" i="40"/>
  <c r="B482" i="40"/>
  <c r="C482" i="40"/>
  <c r="E482" i="40"/>
  <c r="F482" i="40"/>
  <c r="G482" i="40"/>
  <c r="H482" i="40"/>
  <c r="I482" i="40"/>
  <c r="A483" i="40"/>
  <c r="B483" i="40"/>
  <c r="C483" i="40"/>
  <c r="E483" i="40"/>
  <c r="F483" i="40"/>
  <c r="G483" i="40"/>
  <c r="H483" i="40"/>
  <c r="I483" i="40"/>
  <c r="A484" i="40"/>
  <c r="B484" i="40"/>
  <c r="C484" i="40"/>
  <c r="E484" i="40"/>
  <c r="F484" i="40"/>
  <c r="G484" i="40"/>
  <c r="H484" i="40"/>
  <c r="I484" i="40"/>
  <c r="A485" i="40"/>
  <c r="B485" i="40"/>
  <c r="C485" i="40"/>
  <c r="E485" i="40"/>
  <c r="F485" i="40"/>
  <c r="G485" i="40"/>
  <c r="H485" i="40"/>
  <c r="I485" i="40"/>
  <c r="A486" i="40"/>
  <c r="B486" i="40"/>
  <c r="C486" i="40"/>
  <c r="D486" i="40"/>
  <c r="E486" i="40"/>
  <c r="F486" i="40"/>
  <c r="G486" i="40"/>
  <c r="H486" i="40"/>
  <c r="I486" i="40"/>
  <c r="J486" i="40"/>
  <c r="A487" i="40"/>
  <c r="B487" i="40"/>
  <c r="C487" i="40"/>
  <c r="E487" i="40"/>
  <c r="F487" i="40"/>
  <c r="G487" i="40"/>
  <c r="H487" i="40"/>
  <c r="I487" i="40"/>
  <c r="A488" i="40"/>
  <c r="B488" i="40"/>
  <c r="C488" i="40"/>
  <c r="E488" i="40"/>
  <c r="F488" i="40"/>
  <c r="G488" i="40"/>
  <c r="H488" i="40"/>
  <c r="I488" i="40"/>
  <c r="A489" i="40"/>
  <c r="B489" i="40"/>
  <c r="C489" i="40"/>
  <c r="E489" i="40"/>
  <c r="F489" i="40"/>
  <c r="G489" i="40"/>
  <c r="H489" i="40"/>
  <c r="I489" i="40"/>
  <c r="A490" i="40"/>
  <c r="B490" i="40"/>
  <c r="C490" i="40"/>
  <c r="E490" i="40"/>
  <c r="F490" i="40"/>
  <c r="G490" i="40"/>
  <c r="H490" i="40"/>
  <c r="I490" i="40"/>
  <c r="A491" i="40"/>
  <c r="B491" i="40"/>
  <c r="C491" i="40"/>
  <c r="E491" i="40"/>
  <c r="F491" i="40"/>
  <c r="G491" i="40"/>
  <c r="H491" i="40"/>
  <c r="I491" i="40"/>
  <c r="A492" i="40"/>
  <c r="B492" i="40"/>
  <c r="C492" i="40"/>
  <c r="E492" i="40"/>
  <c r="F492" i="40"/>
  <c r="G492" i="40"/>
  <c r="H492" i="40"/>
  <c r="I492" i="40"/>
  <c r="A493" i="40"/>
  <c r="B493" i="40"/>
  <c r="C493" i="40"/>
  <c r="E493" i="40"/>
  <c r="F493" i="40"/>
  <c r="G493" i="40"/>
  <c r="H493" i="40"/>
  <c r="I493" i="40"/>
  <c r="A494" i="40"/>
  <c r="B494" i="40"/>
  <c r="C494" i="40"/>
  <c r="E494" i="40"/>
  <c r="F494" i="40"/>
  <c r="G494" i="40"/>
  <c r="H494" i="40"/>
  <c r="I494" i="40"/>
  <c r="A495" i="40"/>
  <c r="B495" i="40"/>
  <c r="C495" i="40"/>
  <c r="E495" i="40"/>
  <c r="F495" i="40"/>
  <c r="G495" i="40"/>
  <c r="H495" i="40"/>
  <c r="I495" i="40"/>
  <c r="A496" i="40"/>
  <c r="B496" i="40"/>
  <c r="C496" i="40"/>
  <c r="E496" i="40"/>
  <c r="F496" i="40"/>
  <c r="G496" i="40"/>
  <c r="H496" i="40"/>
  <c r="I496" i="40"/>
  <c r="A497" i="40"/>
  <c r="B497" i="40"/>
  <c r="C497" i="40"/>
  <c r="E497" i="40"/>
  <c r="F497" i="40"/>
  <c r="G497" i="40"/>
  <c r="H497" i="40"/>
  <c r="I497" i="40"/>
  <c r="A498" i="40"/>
  <c r="B498" i="40"/>
  <c r="C498" i="40"/>
  <c r="E498" i="40"/>
  <c r="F498" i="40"/>
  <c r="G498" i="40"/>
  <c r="H498" i="40"/>
  <c r="I498" i="40"/>
  <c r="A499" i="40"/>
  <c r="B499" i="40"/>
  <c r="C499" i="40"/>
  <c r="E499" i="40"/>
  <c r="F499" i="40"/>
  <c r="G499" i="40"/>
  <c r="H499" i="40"/>
  <c r="I499" i="40"/>
  <c r="A500" i="40"/>
  <c r="B500" i="40"/>
  <c r="C500" i="40"/>
  <c r="E500" i="40"/>
  <c r="F500" i="40"/>
  <c r="G500" i="40"/>
  <c r="H500" i="40"/>
  <c r="I500" i="40"/>
  <c r="A501" i="40"/>
  <c r="B501" i="40"/>
  <c r="C501" i="40"/>
  <c r="E501" i="40"/>
  <c r="F501" i="40"/>
  <c r="G501" i="40"/>
  <c r="H501" i="40"/>
  <c r="I501" i="40"/>
  <c r="A502" i="40"/>
  <c r="B502" i="40"/>
  <c r="C502" i="40"/>
  <c r="E502" i="40"/>
  <c r="F502" i="40"/>
  <c r="G502" i="40"/>
  <c r="H502" i="40"/>
  <c r="I502" i="40"/>
  <c r="A503" i="40"/>
  <c r="B503" i="40"/>
  <c r="C503" i="40"/>
  <c r="E503" i="40"/>
  <c r="F503" i="40"/>
  <c r="G503" i="40"/>
  <c r="H503" i="40"/>
  <c r="I503" i="40"/>
  <c r="A504" i="40"/>
  <c r="B504" i="40"/>
  <c r="C504" i="40"/>
  <c r="D504" i="40"/>
  <c r="E504" i="40"/>
  <c r="F504" i="40"/>
  <c r="G504" i="40"/>
  <c r="H504" i="40"/>
  <c r="I504" i="40"/>
  <c r="A505" i="40"/>
  <c r="B505" i="40"/>
  <c r="C505" i="40"/>
  <c r="D505" i="40"/>
  <c r="E505" i="40"/>
  <c r="F505" i="40"/>
  <c r="G505" i="40"/>
  <c r="H505" i="40"/>
  <c r="I505" i="40"/>
  <c r="A506" i="40"/>
  <c r="B506" i="40"/>
  <c r="C506" i="40"/>
  <c r="E506" i="40"/>
  <c r="F506" i="40"/>
  <c r="G506" i="40"/>
  <c r="H506" i="40"/>
  <c r="I506" i="40"/>
  <c r="J506" i="40"/>
  <c r="A507" i="40"/>
  <c r="B507" i="40"/>
  <c r="A508" i="40"/>
  <c r="B508" i="40"/>
  <c r="A542" i="40"/>
  <c r="B542" i="40"/>
  <c r="A543" i="40"/>
  <c r="B543" i="40"/>
  <c r="C543" i="40"/>
  <c r="E543" i="40"/>
  <c r="F543" i="40"/>
  <c r="A544" i="40"/>
  <c r="B544" i="40"/>
  <c r="C544" i="40"/>
  <c r="E544" i="40"/>
  <c r="F544" i="40"/>
  <c r="G544" i="40"/>
  <c r="H544" i="40"/>
  <c r="I544" i="40"/>
  <c r="A545" i="40"/>
  <c r="B545" i="40"/>
  <c r="C545" i="40"/>
  <c r="E545" i="40"/>
  <c r="F545" i="40"/>
  <c r="G545" i="40"/>
  <c r="H545" i="40"/>
  <c r="I545" i="40"/>
  <c r="A546" i="40"/>
  <c r="B546" i="40"/>
  <c r="C546" i="40"/>
  <c r="E546" i="40"/>
  <c r="F546" i="40"/>
  <c r="G546" i="40"/>
  <c r="H546" i="40"/>
  <c r="I546" i="40"/>
  <c r="A547" i="40"/>
  <c r="B547" i="40"/>
  <c r="C547" i="40"/>
  <c r="E547" i="40"/>
  <c r="F547" i="40"/>
  <c r="G547" i="40"/>
  <c r="H547" i="40"/>
  <c r="I547" i="40"/>
  <c r="A548" i="40"/>
  <c r="B548" i="40"/>
  <c r="C548" i="40"/>
  <c r="E548" i="40"/>
  <c r="F548" i="40"/>
  <c r="G548" i="40"/>
  <c r="H548" i="40"/>
  <c r="I548" i="40"/>
  <c r="A549" i="40"/>
  <c r="B549" i="40"/>
  <c r="C549" i="40"/>
  <c r="E549" i="40"/>
  <c r="F549" i="40"/>
  <c r="G549" i="40"/>
  <c r="H549" i="40"/>
  <c r="I549" i="40"/>
  <c r="A550" i="40"/>
  <c r="B550" i="40"/>
  <c r="C550" i="40"/>
  <c r="E550" i="40"/>
  <c r="F550" i="40"/>
  <c r="G550" i="40"/>
  <c r="H550" i="40"/>
  <c r="I550" i="40"/>
  <c r="A551" i="40"/>
  <c r="B551" i="40"/>
  <c r="C551" i="40"/>
  <c r="E551" i="40"/>
  <c r="F551" i="40"/>
  <c r="G551" i="40"/>
  <c r="H551" i="40"/>
  <c r="I551" i="40"/>
  <c r="A552" i="40"/>
  <c r="B552" i="40"/>
  <c r="C552" i="40"/>
  <c r="E552" i="40"/>
  <c r="F552" i="40"/>
  <c r="G552" i="40"/>
  <c r="H552" i="40"/>
  <c r="I552" i="40"/>
  <c r="A553" i="40"/>
  <c r="B553" i="40"/>
  <c r="C553" i="40"/>
  <c r="D553" i="40"/>
  <c r="E553" i="40"/>
  <c r="F553" i="40"/>
  <c r="G553" i="40"/>
  <c r="H553" i="40"/>
  <c r="I553" i="40"/>
  <c r="J553" i="40"/>
  <c r="A554" i="40"/>
  <c r="B554" i="40"/>
  <c r="C554" i="40"/>
  <c r="E554" i="40"/>
  <c r="F554" i="40"/>
  <c r="G554" i="40"/>
  <c r="H554" i="40"/>
  <c r="I554" i="40"/>
  <c r="A555" i="40"/>
  <c r="B555" i="40"/>
  <c r="C555" i="40"/>
  <c r="E555" i="40"/>
  <c r="F555" i="40"/>
  <c r="G555" i="40"/>
  <c r="H555" i="40"/>
  <c r="I555" i="40"/>
  <c r="A556" i="40"/>
  <c r="B556" i="40"/>
  <c r="C556" i="40"/>
  <c r="E556" i="40"/>
  <c r="F556" i="40"/>
  <c r="G556" i="40"/>
  <c r="H556" i="40"/>
  <c r="I556" i="40"/>
  <c r="A557" i="40"/>
  <c r="B557" i="40"/>
  <c r="C557" i="40"/>
  <c r="E557" i="40"/>
  <c r="F557" i="40"/>
  <c r="G557" i="40"/>
  <c r="H557" i="40"/>
  <c r="I557" i="40"/>
  <c r="A558" i="40"/>
  <c r="B558" i="40"/>
  <c r="C558" i="40"/>
  <c r="E558" i="40"/>
  <c r="F558" i="40"/>
  <c r="G558" i="40"/>
  <c r="H558" i="40"/>
  <c r="I558" i="40"/>
  <c r="A559" i="40"/>
  <c r="B559" i="40"/>
  <c r="C559" i="40"/>
  <c r="E559" i="40"/>
  <c r="F559" i="40"/>
  <c r="G559" i="40"/>
  <c r="H559" i="40"/>
  <c r="I559" i="40"/>
  <c r="A560" i="40"/>
  <c r="B560" i="40"/>
  <c r="C560" i="40"/>
  <c r="E560" i="40"/>
  <c r="F560" i="40"/>
  <c r="G560" i="40"/>
  <c r="H560" i="40"/>
  <c r="I560" i="40"/>
  <c r="A561" i="40"/>
  <c r="B561" i="40"/>
  <c r="C561" i="40"/>
  <c r="E561" i="40"/>
  <c r="F561" i="40"/>
  <c r="G561" i="40"/>
  <c r="H561" i="40"/>
  <c r="I561" i="40"/>
  <c r="A562" i="40"/>
  <c r="B562" i="40"/>
  <c r="C562" i="40"/>
  <c r="E562" i="40"/>
  <c r="F562" i="40"/>
  <c r="G562" i="40"/>
  <c r="H562" i="40"/>
  <c r="I562" i="40"/>
  <c r="A563" i="40"/>
  <c r="B563" i="40"/>
  <c r="C563" i="40"/>
  <c r="E563" i="40"/>
  <c r="F563" i="40"/>
  <c r="G563" i="40"/>
  <c r="H563" i="40"/>
  <c r="I563" i="40"/>
  <c r="A564" i="40"/>
  <c r="B564" i="40"/>
  <c r="C564" i="40"/>
  <c r="E564" i="40"/>
  <c r="F564" i="40"/>
  <c r="G564" i="40"/>
  <c r="H564" i="40"/>
  <c r="I564" i="40"/>
  <c r="A565" i="40"/>
  <c r="B565" i="40"/>
  <c r="C565" i="40"/>
  <c r="E565" i="40"/>
  <c r="F565" i="40"/>
  <c r="G565" i="40"/>
  <c r="H565" i="40"/>
  <c r="I565" i="40"/>
  <c r="A566" i="40"/>
  <c r="B566" i="40"/>
  <c r="C566" i="40"/>
  <c r="E566" i="40"/>
  <c r="F566" i="40"/>
  <c r="G566" i="40"/>
  <c r="H566" i="40"/>
  <c r="I566" i="40"/>
  <c r="A567" i="40"/>
  <c r="B567" i="40"/>
  <c r="C567" i="40"/>
  <c r="E567" i="40"/>
  <c r="F567" i="40"/>
  <c r="G567" i="40"/>
  <c r="H567" i="40"/>
  <c r="I567" i="40"/>
  <c r="A568" i="40"/>
  <c r="B568" i="40"/>
  <c r="C568" i="40"/>
  <c r="D568" i="40"/>
  <c r="E568" i="40"/>
  <c r="F568" i="40"/>
  <c r="G568" i="40"/>
  <c r="H568" i="40"/>
  <c r="I568" i="40"/>
  <c r="J568" i="40"/>
  <c r="A569" i="40"/>
  <c r="B569" i="40"/>
  <c r="C569" i="40"/>
  <c r="E569" i="40"/>
  <c r="F569" i="40"/>
  <c r="G569" i="40"/>
  <c r="H569" i="40"/>
  <c r="I569" i="40"/>
  <c r="A570" i="40"/>
  <c r="B570" i="40"/>
  <c r="C570" i="40"/>
  <c r="E570" i="40"/>
  <c r="F570" i="40"/>
  <c r="G570" i="40"/>
  <c r="H570" i="40"/>
  <c r="I570" i="40"/>
  <c r="A571" i="40"/>
  <c r="B571" i="40"/>
  <c r="C571" i="40"/>
  <c r="E571" i="40"/>
  <c r="F571" i="40"/>
  <c r="G571" i="40"/>
  <c r="H571" i="40"/>
  <c r="I571" i="40"/>
  <c r="A572" i="40"/>
  <c r="B572" i="40"/>
  <c r="C572" i="40"/>
  <c r="E572" i="40"/>
  <c r="F572" i="40"/>
  <c r="G572" i="40"/>
  <c r="H572" i="40"/>
  <c r="I572" i="40"/>
  <c r="A573" i="40"/>
  <c r="B573" i="40"/>
  <c r="C573" i="40"/>
  <c r="E573" i="40"/>
  <c r="F573" i="40"/>
  <c r="G573" i="40"/>
  <c r="H573" i="40"/>
  <c r="I573" i="40"/>
  <c r="A574" i="40"/>
  <c r="B574" i="40"/>
  <c r="C574" i="40"/>
  <c r="E574" i="40"/>
  <c r="F574" i="40"/>
  <c r="G574" i="40"/>
  <c r="H574" i="40"/>
  <c r="I574" i="40"/>
  <c r="A575" i="40"/>
  <c r="B575" i="40"/>
  <c r="C575" i="40"/>
  <c r="E575" i="40"/>
  <c r="F575" i="40"/>
  <c r="G575" i="40"/>
  <c r="H575" i="40"/>
  <c r="I575" i="40"/>
  <c r="A576" i="40"/>
  <c r="B576" i="40"/>
  <c r="C576" i="40"/>
  <c r="E576" i="40"/>
  <c r="F576" i="40"/>
  <c r="G576" i="40"/>
  <c r="H576" i="40"/>
  <c r="I576" i="40"/>
  <c r="A577" i="40"/>
  <c r="B577" i="40"/>
  <c r="C577" i="40"/>
  <c r="E577" i="40"/>
  <c r="F577" i="40"/>
  <c r="G577" i="40"/>
  <c r="H577" i="40"/>
  <c r="I577" i="40"/>
  <c r="A578" i="40"/>
  <c r="B578" i="40"/>
  <c r="C578" i="40"/>
  <c r="E578" i="40"/>
  <c r="F578" i="40"/>
  <c r="G578" i="40"/>
  <c r="H578" i="40"/>
  <c r="I578" i="40"/>
  <c r="A579" i="40"/>
  <c r="B579" i="40"/>
  <c r="C579" i="40"/>
  <c r="E579" i="40"/>
  <c r="F579" i="40"/>
  <c r="G579" i="40"/>
  <c r="H579" i="40"/>
  <c r="I579" i="40"/>
  <c r="A580" i="40"/>
  <c r="B580" i="40"/>
  <c r="C580" i="40"/>
  <c r="E580" i="40"/>
  <c r="F580" i="40"/>
  <c r="G580" i="40"/>
  <c r="H580" i="40"/>
  <c r="I580" i="40"/>
  <c r="A581" i="40"/>
  <c r="B581" i="40"/>
  <c r="C581" i="40"/>
  <c r="E581" i="40"/>
  <c r="F581" i="40"/>
  <c r="G581" i="40"/>
  <c r="H581" i="40"/>
  <c r="I581" i="40"/>
  <c r="A582" i="40"/>
  <c r="B582" i="40"/>
  <c r="C582" i="40"/>
  <c r="E582" i="40"/>
  <c r="F582" i="40"/>
  <c r="G582" i="40"/>
  <c r="H582" i="40"/>
  <c r="I582" i="40"/>
  <c r="A583" i="40"/>
  <c r="B583" i="40"/>
  <c r="C583" i="40"/>
  <c r="E583" i="40"/>
  <c r="F583" i="40"/>
  <c r="G583" i="40"/>
  <c r="H583" i="40"/>
  <c r="I583" i="40"/>
  <c r="A584" i="40"/>
  <c r="B584" i="40"/>
  <c r="C584" i="40"/>
  <c r="E584" i="40"/>
  <c r="F584" i="40"/>
  <c r="G584" i="40"/>
  <c r="H584" i="40"/>
  <c r="I584" i="40"/>
  <c r="A585" i="40"/>
  <c r="B585" i="40"/>
  <c r="C585" i="40"/>
  <c r="D585" i="40"/>
  <c r="E585" i="40"/>
  <c r="F585" i="40"/>
  <c r="G585" i="40"/>
  <c r="H585" i="40"/>
  <c r="I585" i="40"/>
  <c r="A586" i="40"/>
  <c r="B586" i="40"/>
  <c r="C586" i="40"/>
  <c r="E586" i="40"/>
  <c r="F586" i="40"/>
  <c r="G586" i="40"/>
  <c r="H586" i="40"/>
  <c r="I586" i="40"/>
  <c r="A587" i="40"/>
  <c r="B587" i="40"/>
  <c r="C587" i="40"/>
  <c r="E587" i="40"/>
  <c r="F587" i="40"/>
  <c r="G587" i="40"/>
  <c r="H587" i="40"/>
  <c r="I587" i="40"/>
  <c r="A588" i="40"/>
  <c r="B588" i="40"/>
  <c r="C588" i="40"/>
  <c r="E588" i="40"/>
  <c r="F588" i="40"/>
  <c r="G588" i="40"/>
  <c r="H588" i="40"/>
  <c r="I588" i="40"/>
  <c r="A589" i="40"/>
  <c r="B589" i="40"/>
  <c r="C589" i="40"/>
  <c r="E589" i="40"/>
  <c r="F589" i="40"/>
  <c r="G589" i="40"/>
  <c r="H589" i="40"/>
  <c r="I589" i="40"/>
  <c r="J589" i="40"/>
  <c r="A590" i="40"/>
  <c r="B590" i="40"/>
  <c r="A591" i="40"/>
  <c r="B591" i="40"/>
  <c r="B619" i="40"/>
  <c r="C619" i="40"/>
  <c r="E619" i="40"/>
  <c r="F619" i="40"/>
  <c r="G619" i="40"/>
  <c r="H619" i="40"/>
  <c r="L619" i="40"/>
  <c r="A622" i="40"/>
  <c r="B622" i="40"/>
  <c r="C622" i="40"/>
  <c r="E622" i="40"/>
  <c r="F622" i="40"/>
  <c r="G622" i="40"/>
  <c r="L622" i="40"/>
  <c r="A623" i="40"/>
  <c r="B623" i="40"/>
  <c r="C623" i="40"/>
  <c r="E623" i="40"/>
  <c r="F623" i="40"/>
  <c r="A624" i="40"/>
  <c r="B624" i="40"/>
  <c r="C624" i="40"/>
  <c r="E624" i="40"/>
  <c r="F624" i="40"/>
  <c r="A625" i="40"/>
  <c r="B625" i="40"/>
  <c r="C625" i="40"/>
  <c r="E625" i="40"/>
  <c r="F625" i="40"/>
  <c r="A626" i="40"/>
  <c r="B626" i="40"/>
  <c r="C626" i="40"/>
  <c r="E626" i="40"/>
  <c r="F626" i="40"/>
  <c r="A627" i="40"/>
  <c r="B627" i="40"/>
  <c r="C627" i="40"/>
  <c r="E627" i="40"/>
  <c r="F627" i="40"/>
  <c r="A628" i="40"/>
  <c r="B628" i="40"/>
  <c r="C628" i="40"/>
  <c r="E628" i="40"/>
  <c r="F628" i="40"/>
  <c r="A629" i="40"/>
  <c r="B629" i="40"/>
  <c r="C629" i="40"/>
  <c r="E629" i="40"/>
  <c r="F629" i="40"/>
  <c r="A630" i="40"/>
  <c r="B630" i="40"/>
  <c r="C630" i="40"/>
  <c r="E630" i="40"/>
  <c r="F630" i="40"/>
  <c r="G630" i="40"/>
  <c r="H630" i="40"/>
  <c r="L630" i="40"/>
  <c r="B631" i="40"/>
  <c r="C631" i="40"/>
  <c r="E631" i="40"/>
  <c r="F631" i="40"/>
  <c r="G631" i="40"/>
  <c r="H631" i="40"/>
  <c r="L631" i="40"/>
  <c r="B632" i="40"/>
  <c r="C632" i="40"/>
  <c r="E632" i="40"/>
  <c r="F632" i="40"/>
  <c r="G632" i="40"/>
  <c r="H632" i="40"/>
  <c r="L632" i="40"/>
  <c r="B633" i="40"/>
  <c r="C633" i="40"/>
  <c r="E633" i="40"/>
  <c r="F633" i="40"/>
  <c r="G633" i="40"/>
  <c r="H633" i="40"/>
  <c r="L633" i="40"/>
  <c r="B634" i="40"/>
  <c r="C634" i="40"/>
  <c r="E634" i="40"/>
  <c r="F634" i="40"/>
  <c r="G634" i="40"/>
  <c r="H634" i="40"/>
  <c r="L634" i="40"/>
  <c r="AC7" i="39"/>
  <c r="AC8" i="39"/>
  <c r="AC13" i="39"/>
  <c r="AC14" i="39"/>
  <c r="AC15" i="39"/>
  <c r="AC16" i="39"/>
  <c r="AC17" i="39"/>
  <c r="AC18" i="39"/>
  <c r="AC19" i="39"/>
  <c r="AC20" i="39"/>
  <c r="AC21" i="39"/>
  <c r="AC22" i="39"/>
  <c r="AC23" i="39"/>
  <c r="D42" i="40" s="1"/>
  <c r="AC24" i="39"/>
  <c r="D43" i="40" s="1"/>
  <c r="AC25" i="39"/>
  <c r="D44" i="40" s="1"/>
  <c r="AC26" i="39"/>
  <c r="D45" i="40" s="1"/>
  <c r="AC27" i="39"/>
  <c r="D46" i="40" s="1"/>
  <c r="AC28" i="39"/>
  <c r="D47" i="40" s="1"/>
  <c r="AC29" i="39"/>
  <c r="D48" i="40" s="1"/>
  <c r="AC30" i="39"/>
  <c r="AC31" i="39"/>
  <c r="AC32" i="39"/>
  <c r="AC33" i="39"/>
  <c r="AC34" i="39"/>
  <c r="AC35" i="39"/>
  <c r="AC36" i="39"/>
  <c r="D55" i="40" s="1"/>
  <c r="AC37" i="39"/>
  <c r="D56" i="40" s="1"/>
  <c r="AC38" i="39"/>
  <c r="D57" i="40" s="1"/>
  <c r="AC39" i="39"/>
  <c r="D58" i="40" s="1"/>
  <c r="AC40" i="39"/>
  <c r="D59" i="40" s="1"/>
  <c r="AC41" i="39"/>
  <c r="D60" i="40" s="1"/>
  <c r="AC42" i="39"/>
  <c r="D61" i="40" s="1"/>
  <c r="AC43" i="39"/>
  <c r="D62" i="40" s="1"/>
  <c r="AC44" i="39"/>
  <c r="AC45" i="39"/>
  <c r="AC46" i="39"/>
  <c r="AC47" i="39"/>
  <c r="AC48" i="39"/>
  <c r="AC49" i="39"/>
  <c r="AC50" i="39"/>
  <c r="AC51" i="39"/>
  <c r="AC52" i="39"/>
  <c r="D71" i="40" s="1"/>
  <c r="AC53" i="39"/>
  <c r="AC54" i="39"/>
  <c r="AC55" i="39"/>
  <c r="AC57" i="39"/>
  <c r="D76" i="40" s="1"/>
  <c r="AC58" i="39"/>
  <c r="D77" i="40" s="1"/>
  <c r="AC59" i="39"/>
  <c r="D78" i="40" s="1"/>
  <c r="AC60" i="39"/>
  <c r="AC61" i="39"/>
  <c r="AC62" i="39"/>
  <c r="AC63" i="39"/>
  <c r="AC64" i="39"/>
  <c r="AC65" i="39"/>
  <c r="AC66" i="39"/>
  <c r="AC67" i="39"/>
  <c r="AC68" i="39"/>
  <c r="AC69" i="39"/>
  <c r="AC70" i="39"/>
  <c r="AC71" i="39"/>
  <c r="AC72" i="39"/>
  <c r="AC73" i="39"/>
  <c r="D92" i="40" s="1"/>
  <c r="AC74" i="39"/>
  <c r="D93" i="40" s="1"/>
  <c r="AC75" i="39"/>
  <c r="AC77" i="39"/>
  <c r="AC78" i="39"/>
  <c r="AC79" i="39"/>
  <c r="AC80" i="39"/>
  <c r="AC81" i="39"/>
  <c r="AC82" i="39"/>
  <c r="AC83" i="39"/>
  <c r="AC93" i="39"/>
  <c r="AC94" i="39"/>
  <c r="AC95" i="39"/>
  <c r="AC96" i="39"/>
  <c r="AC97" i="39"/>
  <c r="AH97" i="39"/>
  <c r="AC98" i="39"/>
  <c r="D143" i="40" s="1"/>
  <c r="AC99" i="39"/>
  <c r="D144" i="40" s="1"/>
  <c r="AC100" i="39"/>
  <c r="D145" i="40" s="1"/>
  <c r="AC101" i="39"/>
  <c r="D146" i="40" s="1"/>
  <c r="AC102" i="39"/>
  <c r="D147" i="40" s="1"/>
  <c r="AC103" i="39"/>
  <c r="D148" i="40" s="1"/>
  <c r="AC104" i="39"/>
  <c r="D149" i="40" s="1"/>
  <c r="AC105" i="39"/>
  <c r="AC106" i="39"/>
  <c r="AC107" i="39"/>
  <c r="AC108" i="39"/>
  <c r="AC109" i="39"/>
  <c r="AC110" i="39"/>
  <c r="AC111" i="39"/>
  <c r="D156" i="40" s="1"/>
  <c r="AC112" i="39"/>
  <c r="D157" i="40" s="1"/>
  <c r="AC113" i="39"/>
  <c r="D158" i="40" s="1"/>
  <c r="AC114" i="39"/>
  <c r="D159" i="40" s="1"/>
  <c r="AC115" i="39"/>
  <c r="D160" i="40" s="1"/>
  <c r="AC116" i="39"/>
  <c r="D161" i="40" s="1"/>
  <c r="AC117" i="39"/>
  <c r="D162" i="40" s="1"/>
  <c r="AC118" i="39"/>
  <c r="D163" i="40" s="1"/>
  <c r="AC120" i="39"/>
  <c r="AC121" i="39"/>
  <c r="AC122" i="39"/>
  <c r="AC123" i="39"/>
  <c r="AC124" i="39"/>
  <c r="AC125" i="39"/>
  <c r="AC126" i="39"/>
  <c r="AC127" i="39"/>
  <c r="AC128" i="39"/>
  <c r="D173" i="40" s="1"/>
  <c r="AC130" i="39"/>
  <c r="D175" i="40" s="1"/>
  <c r="D176" i="40"/>
  <c r="AC132" i="39"/>
  <c r="AC133" i="39"/>
  <c r="AC134" i="39"/>
  <c r="AC135" i="39"/>
  <c r="D180" i="40" s="1"/>
  <c r="AC136" i="39"/>
  <c r="D181" i="40" s="1"/>
  <c r="AC137" i="39"/>
  <c r="AC138" i="39"/>
  <c r="AC139" i="39"/>
  <c r="AC140" i="39"/>
  <c r="D185" i="40" s="1"/>
  <c r="AC141" i="39"/>
  <c r="AC143" i="39"/>
  <c r="AC144" i="39"/>
  <c r="AC145" i="39"/>
  <c r="AC146" i="39"/>
  <c r="AC147" i="39"/>
  <c r="AC148" i="39"/>
  <c r="D193" i="40" s="1"/>
  <c r="AC150" i="39"/>
  <c r="AC158" i="39"/>
  <c r="D211" i="40" s="1"/>
  <c r="AC159" i="39"/>
  <c r="D212" i="40" s="1"/>
  <c r="AC160" i="39"/>
  <c r="D213" i="40" s="1"/>
  <c r="AC161" i="39"/>
  <c r="D214" i="40" s="1"/>
  <c r="AC162" i="39"/>
  <c r="D215" i="40" s="1"/>
  <c r="AC163" i="39"/>
  <c r="D216" i="40" s="1"/>
  <c r="AC164" i="39"/>
  <c r="D217" i="40" s="1"/>
  <c r="AC165" i="39"/>
  <c r="D218" i="40" s="1"/>
  <c r="AC166" i="39"/>
  <c r="D219" i="40" s="1"/>
  <c r="AC167" i="39"/>
  <c r="D220" i="40" s="1"/>
  <c r="AC168" i="39"/>
  <c r="D221" i="40" s="1"/>
  <c r="AC169" i="39"/>
  <c r="D222" i="40" s="1"/>
  <c r="AC170" i="39"/>
  <c r="D223" i="40" s="1"/>
  <c r="AC171" i="39"/>
  <c r="D224" i="40" s="1"/>
  <c r="AC172" i="39"/>
  <c r="D225" i="40" s="1"/>
  <c r="AC173" i="39"/>
  <c r="D226" i="40" s="1"/>
  <c r="AC174" i="39"/>
  <c r="D227" i="40" s="1"/>
  <c r="AC176" i="39"/>
  <c r="AC177" i="39"/>
  <c r="AC178" i="39"/>
  <c r="D233" i="40" s="1"/>
  <c r="AC179" i="39"/>
  <c r="D234" i="40" s="1"/>
  <c r="AC180" i="39"/>
  <c r="D235" i="40" s="1"/>
  <c r="AC181" i="39"/>
  <c r="D236" i="40" s="1"/>
  <c r="AC182" i="39"/>
  <c r="AC183" i="39"/>
  <c r="AC184" i="39"/>
  <c r="AC186" i="39"/>
  <c r="AC187" i="39"/>
  <c r="AC188" i="39"/>
  <c r="AC189" i="39"/>
  <c r="AC190" i="39"/>
  <c r="AC191" i="39"/>
  <c r="AC192" i="39"/>
  <c r="AC193" i="39"/>
  <c r="AC194" i="39"/>
  <c r="AC195" i="39"/>
  <c r="AC196" i="39"/>
  <c r="AC197" i="39"/>
  <c r="AC204" i="39"/>
  <c r="AC205" i="39"/>
  <c r="AC206" i="39"/>
  <c r="AC207" i="39"/>
  <c r="AC208" i="39"/>
  <c r="AC209" i="39"/>
  <c r="AC210" i="39"/>
  <c r="AC211" i="39"/>
  <c r="AC212" i="39"/>
  <c r="AC213" i="39"/>
  <c r="AC214" i="39"/>
  <c r="AC215" i="39"/>
  <c r="D284" i="40" s="1"/>
  <c r="AC216" i="39"/>
  <c r="D285" i="40" s="1"/>
  <c r="AC217" i="39"/>
  <c r="D286" i="40" s="1"/>
  <c r="AC218" i="39"/>
  <c r="D287" i="40" s="1"/>
  <c r="AC219" i="39"/>
  <c r="AC220" i="39"/>
  <c r="AC221" i="39"/>
  <c r="AC222" i="39"/>
  <c r="AC223" i="39"/>
  <c r="D292" i="40" s="1"/>
  <c r="AC224" i="39"/>
  <c r="D293" i="40" s="1"/>
  <c r="AC225" i="39"/>
  <c r="AC226" i="39"/>
  <c r="AC227" i="39"/>
  <c r="AC228" i="39"/>
  <c r="AC229" i="39"/>
  <c r="AC230" i="39"/>
  <c r="AC231" i="39"/>
  <c r="AC232" i="39"/>
  <c r="AC233" i="39"/>
  <c r="AC234" i="39"/>
  <c r="AC235" i="39"/>
  <c r="AC236" i="39"/>
  <c r="AC237" i="39"/>
  <c r="AC238" i="39"/>
  <c r="AC239" i="39"/>
  <c r="AC240" i="39"/>
  <c r="AC241" i="39"/>
  <c r="D310" i="40" s="1"/>
  <c r="AC242" i="39"/>
  <c r="D311" i="40" s="1"/>
  <c r="AC243" i="39"/>
  <c r="AC244" i="39"/>
  <c r="AC245" i="39"/>
  <c r="AC246" i="39"/>
  <c r="AC247" i="39"/>
  <c r="AC248" i="39"/>
  <c r="AC249" i="39"/>
  <c r="AC250" i="39"/>
  <c r="AC252" i="39"/>
  <c r="AC253" i="39"/>
  <c r="AC254" i="39"/>
  <c r="AC255" i="39"/>
  <c r="AC256" i="39"/>
  <c r="AC257" i="39"/>
  <c r="AC258" i="39"/>
  <c r="AC270" i="39"/>
  <c r="AC271" i="39"/>
  <c r="AC272" i="39"/>
  <c r="AC273" i="39"/>
  <c r="AC274" i="39"/>
  <c r="AC275" i="39"/>
  <c r="D348" i="40" s="1"/>
  <c r="AC276" i="39"/>
  <c r="D349" i="40" s="1"/>
  <c r="AC277" i="39"/>
  <c r="D350" i="40" s="1"/>
  <c r="AC278" i="39"/>
  <c r="D351" i="40" s="1"/>
  <c r="AC280" i="39"/>
  <c r="D353" i="40" s="1"/>
  <c r="AC281" i="39"/>
  <c r="D354" i="40" s="1"/>
  <c r="AC284" i="39"/>
  <c r="D357" i="40" s="1"/>
  <c r="AC285" i="39"/>
  <c r="D358" i="40" s="1"/>
  <c r="AC287" i="39"/>
  <c r="D360" i="40" s="1"/>
  <c r="AC288" i="39"/>
  <c r="D361" i="40" s="1"/>
  <c r="AC289" i="39"/>
  <c r="D362" i="40" s="1"/>
  <c r="AC290" i="39"/>
  <c r="D363" i="40" s="1"/>
  <c r="AC291" i="39"/>
  <c r="D364" i="40" s="1"/>
  <c r="AC292" i="39"/>
  <c r="AC293" i="39"/>
  <c r="AC294" i="39"/>
  <c r="AC295" i="39"/>
  <c r="AC297" i="39"/>
  <c r="D370" i="40" s="1"/>
  <c r="AC298" i="39"/>
  <c r="D371" i="40" s="1"/>
  <c r="AC300" i="39"/>
  <c r="D373" i="40" s="1"/>
  <c r="AC301" i="39"/>
  <c r="D374" i="40" s="1"/>
  <c r="AC302" i="39"/>
  <c r="AC303" i="39"/>
  <c r="AC304" i="39"/>
  <c r="AC305" i="39"/>
  <c r="AC306" i="39"/>
  <c r="AC307" i="39"/>
  <c r="AC308" i="39"/>
  <c r="AC309" i="39"/>
  <c r="AC310" i="39"/>
  <c r="AC311" i="39"/>
  <c r="AC312" i="39"/>
  <c r="AC313" i="39"/>
  <c r="AC314" i="39"/>
  <c r="AC315" i="39"/>
  <c r="AC327" i="39"/>
  <c r="AC328" i="39"/>
  <c r="AC329" i="39"/>
  <c r="AC330" i="39"/>
  <c r="AC331" i="39"/>
  <c r="AC332" i="39"/>
  <c r="D409" i="40" s="1"/>
  <c r="AC333" i="39"/>
  <c r="D410" i="40" s="1"/>
  <c r="AC334" i="39"/>
  <c r="D411" i="40" s="1"/>
  <c r="AC335" i="39"/>
  <c r="D412" i="40" s="1"/>
  <c r="AC337" i="39"/>
  <c r="D414" i="40" s="1"/>
  <c r="AC338" i="39"/>
  <c r="D415" i="40" s="1"/>
  <c r="AC341" i="39"/>
  <c r="D418" i="40" s="1"/>
  <c r="AC343" i="39"/>
  <c r="D420" i="40" s="1"/>
  <c r="AC344" i="39"/>
  <c r="D421" i="40" s="1"/>
  <c r="AC345" i="39"/>
  <c r="AC346" i="39"/>
  <c r="AC347" i="39"/>
  <c r="AC348" i="39"/>
  <c r="AC350" i="39"/>
  <c r="D427" i="40" s="1"/>
  <c r="AC351" i="39"/>
  <c r="D428" i="40" s="1"/>
  <c r="AC353" i="39"/>
  <c r="D430" i="40" s="1"/>
  <c r="AC354" i="39"/>
  <c r="D431" i="40" s="1"/>
  <c r="AC355" i="39"/>
  <c r="AC356" i="39"/>
  <c r="AC357" i="39"/>
  <c r="AC358" i="39"/>
  <c r="AC359" i="39"/>
  <c r="AC360" i="39"/>
  <c r="AC361" i="39"/>
  <c r="AC362" i="39"/>
  <c r="AC363" i="39"/>
  <c r="AC364" i="39"/>
  <c r="AC365" i="39"/>
  <c r="AC366" i="39"/>
  <c r="AC367" i="39"/>
  <c r="AC369" i="39"/>
  <c r="AC375" i="39"/>
  <c r="AC376" i="39"/>
  <c r="AC377" i="39"/>
  <c r="AC378" i="39"/>
  <c r="AC379" i="39"/>
  <c r="AC380" i="39"/>
  <c r="D462" i="40" s="1"/>
  <c r="AC381" i="39"/>
  <c r="D463" i="40" s="1"/>
  <c r="AC382" i="39"/>
  <c r="D464" i="40" s="1"/>
  <c r="AC383" i="39"/>
  <c r="D465" i="40" s="1"/>
  <c r="AC385" i="39"/>
  <c r="D467" i="40" s="1"/>
  <c r="AC386" i="39"/>
  <c r="D468" i="40" s="1"/>
  <c r="AC387" i="39"/>
  <c r="AC388" i="39"/>
  <c r="D470" i="40" s="1"/>
  <c r="AC389" i="39"/>
  <c r="D471" i="40" s="1"/>
  <c r="AC390" i="39"/>
  <c r="D472" i="40" s="1"/>
  <c r="AC391" i="39"/>
  <c r="D473" i="40" s="1"/>
  <c r="AC392" i="39"/>
  <c r="D474" i="40" s="1"/>
  <c r="AC393" i="39"/>
  <c r="D475" i="40" s="1"/>
  <c r="AC394" i="39"/>
  <c r="D476" i="40" s="1"/>
  <c r="AC395" i="39"/>
  <c r="D477" i="40" s="1"/>
  <c r="AC396" i="39"/>
  <c r="D478" i="40" s="1"/>
  <c r="AC397" i="39"/>
  <c r="AC398" i="39"/>
  <c r="AC399" i="39"/>
  <c r="AC400" i="39"/>
  <c r="AC402" i="39"/>
  <c r="D484" i="40" s="1"/>
  <c r="AC403" i="39"/>
  <c r="D485" i="40" s="1"/>
  <c r="AC405" i="39"/>
  <c r="D487" i="40" s="1"/>
  <c r="AC406" i="39"/>
  <c r="D488" i="40" s="1"/>
  <c r="AC407" i="39"/>
  <c r="AC408" i="39"/>
  <c r="AC409" i="39"/>
  <c r="AC410" i="39"/>
  <c r="AC411" i="39"/>
  <c r="AC412" i="39"/>
  <c r="AC413" i="39"/>
  <c r="AC414" i="39"/>
  <c r="AC415" i="39"/>
  <c r="AC416" i="39"/>
  <c r="AC417" i="39"/>
  <c r="AC418" i="39"/>
  <c r="AC419" i="39"/>
  <c r="AC420" i="39"/>
  <c r="D502" i="40" s="1"/>
  <c r="AC421" i="39"/>
  <c r="D503" i="40" s="1"/>
  <c r="AC429" i="39"/>
  <c r="AC430" i="39"/>
  <c r="AC431" i="39"/>
  <c r="AC432" i="39"/>
  <c r="AC433" i="39"/>
  <c r="AC434" i="39"/>
  <c r="D549" i="40" s="1"/>
  <c r="AC435" i="39"/>
  <c r="D550" i="40" s="1"/>
  <c r="AC436" i="39"/>
  <c r="D551" i="40" s="1"/>
  <c r="AC437" i="39"/>
  <c r="D552" i="40" s="1"/>
  <c r="AC439" i="39"/>
  <c r="D554" i="40" s="1"/>
  <c r="AC440" i="39"/>
  <c r="D555" i="40" s="1"/>
  <c r="AC441" i="39"/>
  <c r="AC442" i="39"/>
  <c r="D557" i="40" s="1"/>
  <c r="AC443" i="39"/>
  <c r="D558" i="40" s="1"/>
  <c r="AC444" i="39"/>
  <c r="D559" i="40" s="1"/>
  <c r="AC445" i="39"/>
  <c r="D560" i="40" s="1"/>
  <c r="AC446" i="39"/>
  <c r="AC447" i="39"/>
  <c r="AC448" i="39"/>
  <c r="AC449" i="39"/>
  <c r="AC451" i="39"/>
  <c r="D566" i="40" s="1"/>
  <c r="AC452" i="39"/>
  <c r="D567" i="40" s="1"/>
  <c r="AC454" i="39"/>
  <c r="D569" i="40" s="1"/>
  <c r="AC455" i="39"/>
  <c r="D570" i="40" s="1"/>
  <c r="AC456" i="39"/>
  <c r="AC457" i="39"/>
  <c r="AC458" i="39"/>
  <c r="AC459" i="39"/>
  <c r="AC460" i="39"/>
  <c r="AC461" i="39"/>
  <c r="AC462" i="39"/>
  <c r="AC463" i="39"/>
  <c r="AC464" i="39"/>
  <c r="AC465" i="39"/>
  <c r="AC466" i="39"/>
  <c r="AC467" i="39"/>
  <c r="AC468" i="39"/>
  <c r="AC469" i="39"/>
  <c r="D584" i="40" s="1"/>
  <c r="AC471" i="39"/>
  <c r="AC472" i="39"/>
  <c r="AC473" i="39"/>
  <c r="AC479" i="39"/>
  <c r="AC480" i="39"/>
  <c r="AC481" i="39"/>
  <c r="AC482" i="39"/>
  <c r="AC483" i="39"/>
  <c r="AC484" i="39"/>
  <c r="AC485" i="39"/>
  <c r="F5" i="26"/>
  <c r="J8" i="26"/>
  <c r="D9" i="26"/>
  <c r="E9" i="26" s="1"/>
  <c r="C10" i="26"/>
  <c r="C11" i="26" s="1"/>
  <c r="D19" i="26"/>
  <c r="C20" i="26"/>
  <c r="J31" i="26"/>
  <c r="D32" i="26"/>
  <c r="E32" i="26" s="1"/>
  <c r="G32" i="26"/>
  <c r="D33" i="26"/>
  <c r="E33" i="26" s="1"/>
  <c r="G33" i="26"/>
  <c r="D34" i="26"/>
  <c r="E34" i="26" s="1"/>
  <c r="G34" i="26"/>
  <c r="D35" i="26"/>
  <c r="G35" i="26"/>
  <c r="D38" i="26"/>
  <c r="H38" i="26" s="1"/>
  <c r="C39" i="26"/>
  <c r="D48" i="26"/>
  <c r="E48" i="26" s="1"/>
  <c r="C49" i="26"/>
  <c r="D49" i="26" s="1"/>
  <c r="E62" i="26"/>
  <c r="I62" i="26" s="1"/>
  <c r="E63" i="26"/>
  <c r="I63" i="26" s="1"/>
  <c r="E64" i="26"/>
  <c r="I64" i="26" s="1"/>
  <c r="E66" i="26"/>
  <c r="I66" i="26" s="1"/>
  <c r="E67" i="26"/>
  <c r="I67" i="26" s="1"/>
  <c r="E68" i="26"/>
  <c r="I68" i="26" s="1"/>
  <c r="J69" i="26"/>
  <c r="E6" i="39"/>
  <c r="F6" i="46"/>
  <c r="F7" i="46"/>
  <c r="F8" i="46"/>
  <c r="F9" i="46"/>
  <c r="F10" i="46"/>
  <c r="F11" i="46"/>
  <c r="F12" i="46"/>
  <c r="F13" i="46"/>
  <c r="F14" i="46"/>
  <c r="F15" i="46"/>
  <c r="F16" i="46"/>
  <c r="F17" i="46"/>
  <c r="F18" i="46"/>
  <c r="F19" i="46"/>
  <c r="F20" i="46"/>
  <c r="F21" i="46"/>
  <c r="G152" i="22"/>
  <c r="I152" i="22" s="1"/>
  <c r="G27" i="46"/>
  <c r="G168" i="22" s="1"/>
  <c r="I168" i="22" s="1"/>
  <c r="G28" i="46"/>
  <c r="G41" i="22" s="1"/>
  <c r="I41" i="22" s="1"/>
  <c r="G29" i="46"/>
  <c r="G42" i="22" s="1"/>
  <c r="I42" i="22" s="1"/>
  <c r="G30" i="46"/>
  <c r="G64" i="22" s="1"/>
  <c r="G31" i="46"/>
  <c r="G157" i="22" s="1"/>
  <c r="I157" i="22" s="1"/>
  <c r="G32" i="46"/>
  <c r="G33" i="46"/>
  <c r="G78" i="22" s="1"/>
  <c r="I78" i="22" s="1"/>
  <c r="G34" i="46"/>
  <c r="G19" i="22" s="1"/>
  <c r="I19" i="22" s="1"/>
  <c r="E107" i="22"/>
  <c r="M86" i="21"/>
  <c r="J505" i="40"/>
  <c r="J504" i="40"/>
  <c r="N86" i="21"/>
  <c r="J51" i="21"/>
  <c r="L51" i="21"/>
  <c r="K211" i="21"/>
  <c r="K16" i="21"/>
  <c r="L16" i="21"/>
  <c r="J57" i="48" s="1"/>
  <c r="K50" i="21"/>
  <c r="L50" i="21"/>
  <c r="J50" i="21"/>
  <c r="L86" i="21"/>
  <c r="L89" i="21" s="1"/>
  <c r="K21" i="21"/>
  <c r="K35" i="21" s="1"/>
  <c r="K20" i="21"/>
  <c r="K34" i="21" s="1"/>
  <c r="K22" i="21"/>
  <c r="K33" i="21" s="1"/>
  <c r="G131" i="22" l="1"/>
  <c r="I131" i="22" s="1"/>
  <c r="J43" i="45"/>
  <c r="C200" i="17"/>
  <c r="K43" i="45"/>
  <c r="G155" i="22"/>
  <c r="I155" i="22" s="1"/>
  <c r="B110" i="17"/>
  <c r="B219" i="17"/>
  <c r="J67" i="26"/>
  <c r="L142" i="21"/>
  <c r="L52" i="21"/>
  <c r="B495" i="17"/>
  <c r="J142" i="21"/>
  <c r="K145" i="21"/>
  <c r="J52" i="21"/>
  <c r="L186" i="21"/>
  <c r="J94" i="21"/>
  <c r="L734" i="17"/>
  <c r="M734" i="17" s="1"/>
  <c r="J57" i="17"/>
  <c r="A229" i="17"/>
  <c r="C201" i="17"/>
  <c r="A203" i="17"/>
  <c r="B199" i="17"/>
  <c r="B146" i="17"/>
  <c r="B145" i="17"/>
  <c r="B109" i="17"/>
  <c r="B57" i="17"/>
  <c r="A199" i="17"/>
  <c r="A196" i="17"/>
  <c r="A145" i="17"/>
  <c r="A57" i="17"/>
  <c r="B734" i="17"/>
  <c r="D197" i="17"/>
  <c r="B732" i="17"/>
  <c r="B206" i="17"/>
  <c r="A202" i="17"/>
  <c r="B197" i="17"/>
  <c r="B58" i="17"/>
  <c r="L117" i="21"/>
  <c r="K117" i="21"/>
  <c r="L145" i="21"/>
  <c r="K6" i="21"/>
  <c r="L6" i="21"/>
  <c r="K167" i="21"/>
  <c r="L167" i="21"/>
  <c r="K145" i="45"/>
  <c r="I145" i="45"/>
  <c r="M145" i="45"/>
  <c r="M355" i="40"/>
  <c r="B200" i="17"/>
  <c r="F222" i="17"/>
  <c r="B54" i="17"/>
  <c r="A54" i="17"/>
  <c r="G81" i="22"/>
  <c r="I81" i="22" s="1"/>
  <c r="I9" i="26"/>
  <c r="J9" i="26" s="1"/>
  <c r="U5" i="39" s="1"/>
  <c r="K115" i="21"/>
  <c r="G60" i="22"/>
  <c r="G72" i="22"/>
  <c r="I72" i="22" s="1"/>
  <c r="G14" i="22"/>
  <c r="I14" i="22" s="1"/>
  <c r="G101" i="22"/>
  <c r="I101" i="22" s="1"/>
  <c r="J56" i="21"/>
  <c r="L56" i="21"/>
  <c r="J7" i="21"/>
  <c r="L8" i="21"/>
  <c r="K8" i="21"/>
  <c r="G118" i="22"/>
  <c r="I118" i="22" s="1"/>
  <c r="J64" i="26"/>
  <c r="G9" i="22"/>
  <c r="I9" i="22" s="1"/>
  <c r="E38" i="26"/>
  <c r="I38" i="26" s="1"/>
  <c r="K32" i="21"/>
  <c r="G104" i="22"/>
  <c r="I104" i="22" s="1"/>
  <c r="I309" i="40"/>
  <c r="G128" i="22"/>
  <c r="I128" i="22" s="1"/>
  <c r="H32" i="26"/>
  <c r="G39" i="22"/>
  <c r="I39" i="22" s="1"/>
  <c r="I294" i="40"/>
  <c r="J45" i="45"/>
  <c r="K55" i="21"/>
  <c r="L55" i="21"/>
  <c r="K7" i="21"/>
  <c r="L10" i="21"/>
  <c r="L45" i="45"/>
  <c r="K45" i="45"/>
  <c r="K172" i="21"/>
  <c r="B193" i="17"/>
  <c r="L240" i="40"/>
  <c r="C203" i="17"/>
  <c r="B139" i="17"/>
  <c r="B228" i="17"/>
  <c r="I67" i="40"/>
  <c r="L244" i="21"/>
  <c r="J244" i="21"/>
  <c r="J115" i="21"/>
  <c r="H33" i="26"/>
  <c r="C50" i="26"/>
  <c r="C51" i="26" s="1"/>
  <c r="D51" i="26" s="1"/>
  <c r="H51" i="26" s="1"/>
  <c r="M417" i="40"/>
  <c r="M211" i="21"/>
  <c r="H48" i="26"/>
  <c r="I48" i="26" s="1"/>
  <c r="J48" i="26" s="1"/>
  <c r="I6" i="39" s="1"/>
  <c r="D199" i="17"/>
  <c r="N211" i="21"/>
  <c r="J168" i="21"/>
  <c r="J229" i="21"/>
  <c r="D196" i="17"/>
  <c r="K71" i="40"/>
  <c r="K323" i="40"/>
  <c r="L168" i="21"/>
  <c r="K58" i="40"/>
  <c r="D198" i="17"/>
  <c r="B230" i="17"/>
  <c r="M419" i="40"/>
  <c r="K10" i="21"/>
  <c r="K94" i="21"/>
  <c r="K150" i="21"/>
  <c r="B504" i="17"/>
  <c r="K174" i="40"/>
  <c r="A58" i="17"/>
  <c r="N89" i="21"/>
  <c r="L150" i="21"/>
  <c r="F33" i="26"/>
  <c r="F35" i="26"/>
  <c r="A228" i="17"/>
  <c r="A217" i="17"/>
  <c r="C202" i="17"/>
  <c r="A201" i="17"/>
  <c r="B198" i="17"/>
  <c r="B196" i="17"/>
  <c r="K31" i="21"/>
  <c r="K244" i="21"/>
  <c r="B201" i="17"/>
  <c r="C204" i="17"/>
  <c r="B217" i="17"/>
  <c r="K57" i="40"/>
  <c r="M174" i="40"/>
  <c r="K292" i="40"/>
  <c r="K48" i="40"/>
  <c r="L174" i="40"/>
  <c r="K93" i="40"/>
  <c r="A109" i="17"/>
  <c r="K43" i="40"/>
  <c r="A205" i="17"/>
  <c r="K359" i="40"/>
  <c r="B204" i="17"/>
  <c r="K413" i="40"/>
  <c r="D504" i="17"/>
  <c r="A139" i="17"/>
  <c r="K505" i="40"/>
  <c r="K504" i="40" s="1"/>
  <c r="A206" i="17"/>
  <c r="K466" i="40"/>
  <c r="B202" i="17"/>
  <c r="K78" i="40"/>
  <c r="C197" i="17"/>
  <c r="D493" i="17"/>
  <c r="A494" i="17"/>
  <c r="B493" i="17"/>
  <c r="D505" i="17"/>
  <c r="M187" i="40"/>
  <c r="M164" i="40"/>
  <c r="L356" i="40"/>
  <c r="L352" i="40"/>
  <c r="A197" i="17"/>
  <c r="K568" i="40"/>
  <c r="B494" i="17"/>
  <c r="A505" i="17"/>
  <c r="K187" i="40"/>
  <c r="K164" i="40"/>
  <c r="M426" i="40"/>
  <c r="L426" i="40"/>
  <c r="D494" i="17"/>
  <c r="K369" i="40"/>
  <c r="M466" i="40"/>
  <c r="M359" i="40"/>
  <c r="A230" i="17"/>
  <c r="B106" i="17"/>
  <c r="A504" i="17"/>
  <c r="A204" i="17"/>
  <c r="M240" i="40"/>
  <c r="L568" i="40"/>
  <c r="A200" i="17"/>
  <c r="M486" i="40"/>
  <c r="M413" i="40"/>
  <c r="I46" i="40"/>
  <c r="L413" i="40"/>
  <c r="K417" i="40"/>
  <c r="L505" i="40"/>
  <c r="L504" i="40" s="1"/>
  <c r="K553" i="40"/>
  <c r="L466" i="40"/>
  <c r="M505" i="40"/>
  <c r="M504" i="40" s="1"/>
  <c r="L164" i="40"/>
  <c r="D205" i="17"/>
  <c r="M369" i="40"/>
  <c r="L369" i="40"/>
  <c r="M356" i="40"/>
  <c r="A106" i="17"/>
  <c r="K352" i="40"/>
  <c r="L417" i="40"/>
  <c r="K92" i="40"/>
  <c r="K59" i="40"/>
  <c r="K44" i="40"/>
  <c r="M352" i="40"/>
  <c r="K356" i="40"/>
  <c r="B505" i="17"/>
  <c r="B205" i="17"/>
  <c r="C196" i="17"/>
  <c r="A493" i="17"/>
  <c r="B229" i="17"/>
  <c r="B733" i="17"/>
  <c r="C198" i="17"/>
  <c r="K46" i="40"/>
  <c r="C199" i="17"/>
  <c r="B203" i="17"/>
  <c r="I42" i="40"/>
  <c r="M389" i="40"/>
  <c r="K389" i="40"/>
  <c r="K419" i="40"/>
  <c r="L190" i="21"/>
  <c r="J137" i="21"/>
  <c r="J190" i="21"/>
  <c r="L137" i="21"/>
  <c r="L419" i="40"/>
  <c r="K23" i="21"/>
  <c r="K287" i="40"/>
  <c r="K486" i="40"/>
  <c r="K426" i="40"/>
  <c r="K240" i="40"/>
  <c r="K285" i="40"/>
  <c r="K25" i="21"/>
  <c r="D493" i="40"/>
  <c r="L359" i="40"/>
  <c r="D547" i="40"/>
  <c r="F32" i="26"/>
  <c r="M568" i="40"/>
  <c r="K429" i="40"/>
  <c r="I68" i="45"/>
  <c r="J100" i="45"/>
  <c r="J167" i="45"/>
  <c r="I57" i="45"/>
  <c r="J57" i="45"/>
  <c r="H56" i="45"/>
  <c r="J68" i="45"/>
  <c r="J122" i="45"/>
  <c r="L95" i="21"/>
  <c r="K95" i="21"/>
  <c r="K139" i="21"/>
  <c r="J228" i="21"/>
  <c r="J8" i="21"/>
  <c r="L228" i="21"/>
  <c r="L116" i="21"/>
  <c r="M213" i="21"/>
  <c r="J116" i="21"/>
  <c r="K213" i="21"/>
  <c r="J46" i="21"/>
  <c r="L99" i="21"/>
  <c r="L242" i="21"/>
  <c r="J242" i="21"/>
  <c r="K242" i="21"/>
  <c r="K243" i="21"/>
  <c r="I124" i="45"/>
  <c r="G85" i="22"/>
  <c r="I85" i="22" s="1"/>
  <c r="J15" i="45"/>
  <c r="L150" i="45"/>
  <c r="L243" i="21"/>
  <c r="K46" i="21"/>
  <c r="J177" i="21"/>
  <c r="L249" i="21"/>
  <c r="K249" i="21"/>
  <c r="N206" i="21"/>
  <c r="K206" i="21"/>
  <c r="L206" i="21"/>
  <c r="M206" i="21"/>
  <c r="L12" i="21"/>
  <c r="J12" i="21"/>
  <c r="K12" i="21"/>
  <c r="L248" i="21"/>
  <c r="K248" i="21"/>
  <c r="J248" i="21"/>
  <c r="J246" i="21"/>
  <c r="J139" i="21"/>
  <c r="L246" i="21"/>
  <c r="G40" i="22"/>
  <c r="I40" i="22" s="1"/>
  <c r="K49" i="21"/>
  <c r="G7" i="22"/>
  <c r="I7" i="22" s="1"/>
  <c r="L141" i="21"/>
  <c r="G73" i="22"/>
  <c r="I73" i="22" s="1"/>
  <c r="L191" i="21"/>
  <c r="K141" i="21"/>
  <c r="L96" i="21"/>
  <c r="G15" i="22"/>
  <c r="I15" i="22" s="1"/>
  <c r="H19" i="45"/>
  <c r="K191" i="21"/>
  <c r="J96" i="21"/>
  <c r="G102" i="22"/>
  <c r="I102" i="22" s="1"/>
  <c r="J20" i="45"/>
  <c r="G82" i="22"/>
  <c r="I82" i="22" s="1"/>
  <c r="J225" i="21"/>
  <c r="K226" i="21"/>
  <c r="L225" i="21"/>
  <c r="L113" i="21"/>
  <c r="J186" i="45"/>
  <c r="G116" i="22"/>
  <c r="I116" i="22" s="1"/>
  <c r="K144" i="21"/>
  <c r="L144" i="21"/>
  <c r="J144" i="21"/>
  <c r="K186" i="21"/>
  <c r="I36" i="45"/>
  <c r="I47" i="45"/>
  <c r="L109" i="21"/>
  <c r="K109" i="21"/>
  <c r="J18" i="45"/>
  <c r="L172" i="21"/>
  <c r="I167" i="45"/>
  <c r="J9" i="45"/>
  <c r="G84" i="22"/>
  <c r="I84" i="22" s="1"/>
  <c r="G65" i="22"/>
  <c r="G57" i="22" s="1"/>
  <c r="I57" i="22" s="1"/>
  <c r="G44" i="22"/>
  <c r="I44" i="22" s="1"/>
  <c r="G18" i="22"/>
  <c r="I18" i="22" s="1"/>
  <c r="G133" i="22"/>
  <c r="I133" i="22" s="1"/>
  <c r="G120" i="22"/>
  <c r="I120" i="22" s="1"/>
  <c r="G11" i="22"/>
  <c r="I11" i="22" s="1"/>
  <c r="G169" i="22"/>
  <c r="I169" i="22" s="1"/>
  <c r="G77" i="22"/>
  <c r="I77" i="22" s="1"/>
  <c r="L213" i="21"/>
  <c r="J118" i="21"/>
  <c r="L118" i="21"/>
  <c r="L229" i="21"/>
  <c r="L35" i="45"/>
  <c r="J46" i="45"/>
  <c r="I186" i="45"/>
  <c r="J8" i="45"/>
  <c r="I144" i="45"/>
  <c r="I100" i="45"/>
  <c r="J6" i="45"/>
  <c r="G43" i="22"/>
  <c r="I43" i="22" s="1"/>
  <c r="G62" i="22"/>
  <c r="G54" i="22" s="1"/>
  <c r="I54" i="22" s="1"/>
  <c r="K230" i="21"/>
  <c r="J230" i="21"/>
  <c r="L230" i="21"/>
  <c r="K119" i="21"/>
  <c r="L119" i="21"/>
  <c r="L15" i="21"/>
  <c r="J15" i="21"/>
  <c r="K15" i="21"/>
  <c r="L58" i="21"/>
  <c r="J58" i="21"/>
  <c r="K58" i="21"/>
  <c r="K250" i="21"/>
  <c r="J250" i="21"/>
  <c r="L250" i="21"/>
  <c r="L176" i="21"/>
  <c r="K176" i="21"/>
  <c r="J176" i="21"/>
  <c r="K111" i="21"/>
  <c r="J111" i="21"/>
  <c r="L111" i="21"/>
  <c r="K110" i="21"/>
  <c r="L110" i="21"/>
  <c r="J110" i="21"/>
  <c r="K113" i="21"/>
  <c r="L187" i="21"/>
  <c r="K45" i="21"/>
  <c r="L45" i="21"/>
  <c r="K99" i="21"/>
  <c r="K151" i="21"/>
  <c r="L151" i="21"/>
  <c r="J187" i="21"/>
  <c r="J98" i="21"/>
  <c r="L205" i="21"/>
  <c r="K98" i="21"/>
  <c r="N205" i="21"/>
  <c r="M205" i="21"/>
  <c r="D11" i="26"/>
  <c r="C12" i="26"/>
  <c r="G166" i="22"/>
  <c r="I166" i="22" s="1"/>
  <c r="H35" i="26"/>
  <c r="E35" i="26"/>
  <c r="D10" i="26"/>
  <c r="D497" i="40"/>
  <c r="M429" i="40"/>
  <c r="K169" i="21"/>
  <c r="L169" i="21"/>
  <c r="J226" i="21"/>
  <c r="G154" i="22"/>
  <c r="I154" i="22" s="1"/>
  <c r="G63" i="22"/>
  <c r="I63" i="22" s="1"/>
  <c r="G75" i="22"/>
  <c r="I75" i="22" s="1"/>
  <c r="A193" i="17"/>
  <c r="G74" i="22"/>
  <c r="I74" i="22" s="1"/>
  <c r="G103" i="22"/>
  <c r="I103" i="22" s="1"/>
  <c r="G130" i="22"/>
  <c r="I130" i="22" s="1"/>
  <c r="G117" i="22"/>
  <c r="I117" i="22" s="1"/>
  <c r="H49" i="26"/>
  <c r="E49" i="26"/>
  <c r="D483" i="40"/>
  <c r="A198" i="17"/>
  <c r="J143" i="21"/>
  <c r="N208" i="21"/>
  <c r="G8" i="22"/>
  <c r="I8" i="22" s="1"/>
  <c r="L143" i="21"/>
  <c r="M208" i="21"/>
  <c r="G16" i="22"/>
  <c r="I16" i="22" s="1"/>
  <c r="J62" i="26"/>
  <c r="L208" i="21"/>
  <c r="G119" i="22"/>
  <c r="I119" i="22" s="1"/>
  <c r="K14" i="21"/>
  <c r="J14" i="21"/>
  <c r="L14" i="21"/>
  <c r="J59" i="45"/>
  <c r="H59" i="45"/>
  <c r="I34" i="45"/>
  <c r="J34" i="45"/>
  <c r="K34" i="45"/>
  <c r="J7" i="45"/>
  <c r="H7" i="45"/>
  <c r="L245" i="21"/>
  <c r="K372" i="40"/>
  <c r="L372" i="40"/>
  <c r="K355" i="40"/>
  <c r="L355" i="40"/>
  <c r="J13" i="21"/>
  <c r="L13" i="21"/>
  <c r="H58" i="45"/>
  <c r="J58" i="45"/>
  <c r="G76" i="22"/>
  <c r="I76" i="22" s="1"/>
  <c r="M372" i="40"/>
  <c r="J112" i="21"/>
  <c r="L112" i="21"/>
  <c r="K97" i="21"/>
  <c r="L97" i="21"/>
  <c r="J97" i="21"/>
  <c r="G10" i="22"/>
  <c r="I10" i="22" s="1"/>
  <c r="J169" i="21"/>
  <c r="K24" i="21"/>
  <c r="K36" i="21"/>
  <c r="J245" i="21"/>
  <c r="G105" i="22"/>
  <c r="I105" i="22" s="1"/>
  <c r="K193" i="21"/>
  <c r="L193" i="21"/>
  <c r="E19" i="26"/>
  <c r="H19" i="26"/>
  <c r="L623" i="40"/>
  <c r="D460" i="40"/>
  <c r="L187" i="40"/>
  <c r="J148" i="21"/>
  <c r="L148" i="21"/>
  <c r="D556" i="40"/>
  <c r="D489" i="40"/>
  <c r="M89" i="21"/>
  <c r="K77" i="40"/>
  <c r="K42" i="40"/>
  <c r="K284" i="40"/>
  <c r="L429" i="40"/>
  <c r="H34" i="26"/>
  <c r="D435" i="40"/>
  <c r="D501" i="40"/>
  <c r="L389" i="40"/>
  <c r="L553" i="40"/>
  <c r="D439" i="40"/>
  <c r="L210" i="21"/>
  <c r="K210" i="21"/>
  <c r="M210" i="21"/>
  <c r="N210" i="21"/>
  <c r="K11" i="21"/>
  <c r="L11" i="21"/>
  <c r="J11" i="21"/>
  <c r="J247" i="21"/>
  <c r="L247" i="21"/>
  <c r="K247" i="21"/>
  <c r="K227" i="21"/>
  <c r="J227" i="21"/>
  <c r="L227" i="21"/>
  <c r="K209" i="21"/>
  <c r="M209" i="21"/>
  <c r="L209" i="21"/>
  <c r="N209" i="21"/>
  <c r="K170" i="21"/>
  <c r="J170" i="21"/>
  <c r="L170" i="21"/>
  <c r="J192" i="21"/>
  <c r="L192" i="21"/>
  <c r="K192" i="21"/>
  <c r="K207" i="21"/>
  <c r="N207" i="21"/>
  <c r="L207" i="21"/>
  <c r="M207" i="21"/>
  <c r="K44" i="21"/>
  <c r="L44" i="21"/>
  <c r="J44" i="21"/>
  <c r="K189" i="21"/>
  <c r="J189" i="21"/>
  <c r="L189" i="21"/>
  <c r="N204" i="21"/>
  <c r="M204" i="21"/>
  <c r="L204" i="21"/>
  <c r="K204" i="21"/>
  <c r="J188" i="21"/>
  <c r="L188" i="21"/>
  <c r="K188" i="21"/>
  <c r="L93" i="21"/>
  <c r="J93" i="21"/>
  <c r="K93" i="21"/>
  <c r="J57" i="21"/>
  <c r="L57" i="21"/>
  <c r="K57" i="21"/>
  <c r="K231" i="21"/>
  <c r="J231" i="21"/>
  <c r="J505" i="48" s="1"/>
  <c r="L231" i="21"/>
  <c r="L175" i="21"/>
  <c r="J175" i="21"/>
  <c r="K175" i="21"/>
  <c r="K174" i="21"/>
  <c r="J174" i="21"/>
  <c r="L174" i="21"/>
  <c r="K212" i="21"/>
  <c r="N212" i="21"/>
  <c r="M212" i="21"/>
  <c r="L212" i="21"/>
  <c r="K195" i="21"/>
  <c r="J195" i="21"/>
  <c r="J229" i="48" s="1"/>
  <c r="L195" i="21"/>
  <c r="K173" i="21"/>
  <c r="J173" i="21"/>
  <c r="L173" i="21"/>
  <c r="K85" i="21"/>
  <c r="K86" i="21" s="1"/>
  <c r="M85" i="21"/>
  <c r="L194" i="21"/>
  <c r="K194" i="21"/>
  <c r="J194" i="21"/>
  <c r="K185" i="21"/>
  <c r="L185" i="21"/>
  <c r="J185" i="21"/>
  <c r="L177" i="21"/>
  <c r="K9" i="21"/>
  <c r="L149" i="21"/>
  <c r="J9" i="21"/>
  <c r="K149" i="21"/>
  <c r="K224" i="21"/>
  <c r="L224" i="21"/>
  <c r="J171" i="21"/>
  <c r="K171" i="21"/>
  <c r="J114" i="21"/>
  <c r="L100" i="21"/>
  <c r="L114" i="21"/>
  <c r="J138" i="21"/>
  <c r="J251" i="21"/>
  <c r="K100" i="21"/>
  <c r="J145" i="48" s="1"/>
  <c r="L138" i="21"/>
  <c r="L251" i="21"/>
  <c r="L49" i="21"/>
  <c r="H122" i="45"/>
  <c r="H67" i="45"/>
  <c r="J147" i="45"/>
  <c r="J42" i="45"/>
  <c r="I139" i="45"/>
  <c r="L139" i="45"/>
  <c r="J163" i="45"/>
  <c r="I163" i="45"/>
  <c r="J107" i="45"/>
  <c r="I107" i="45"/>
  <c r="J173" i="45"/>
  <c r="I173" i="45"/>
  <c r="J103" i="45"/>
  <c r="J37" i="45"/>
  <c r="I103" i="45"/>
  <c r="K152" i="45"/>
  <c r="I37" i="45"/>
  <c r="L145" i="45"/>
  <c r="J129" i="45"/>
  <c r="I129" i="45"/>
  <c r="J101" i="45"/>
  <c r="H119" i="45"/>
  <c r="I102" i="45"/>
  <c r="I62" i="45"/>
  <c r="J139" i="45"/>
  <c r="H124" i="45"/>
  <c r="I101" i="45"/>
  <c r="J54" i="45"/>
  <c r="J131" i="45"/>
  <c r="L40" i="45"/>
  <c r="I165" i="45"/>
  <c r="J38" i="45"/>
  <c r="J126" i="45"/>
  <c r="I126" i="45"/>
  <c r="I54" i="45"/>
  <c r="J62" i="45"/>
  <c r="I131" i="45"/>
  <c r="I59" i="45"/>
  <c r="H130" i="45"/>
  <c r="J13" i="45"/>
  <c r="J36" i="45"/>
  <c r="J110" i="45"/>
  <c r="J60" i="45"/>
  <c r="I110" i="45"/>
  <c r="I43" i="45"/>
  <c r="I60" i="45"/>
  <c r="J55" i="45"/>
  <c r="H55" i="45"/>
  <c r="J48" i="45"/>
  <c r="J86" i="45"/>
  <c r="H86" i="45"/>
  <c r="I60" i="22"/>
  <c r="G52" i="22"/>
  <c r="I52" i="22" s="1"/>
  <c r="I64" i="22"/>
  <c r="G56" i="22"/>
  <c r="I56" i="22" s="1"/>
  <c r="J63" i="45"/>
  <c r="J182" i="45"/>
  <c r="I63" i="45"/>
  <c r="I182" i="45"/>
  <c r="J183" i="45"/>
  <c r="K38" i="45"/>
  <c r="I183" i="45"/>
  <c r="J170" i="45"/>
  <c r="I170" i="45"/>
  <c r="I48" i="45"/>
  <c r="I162" i="45"/>
  <c r="L141" i="45"/>
  <c r="L46" i="45"/>
  <c r="L140" i="45"/>
  <c r="J119" i="45"/>
  <c r="J21" i="45"/>
  <c r="K141" i="45"/>
  <c r="H120" i="45"/>
  <c r="K46" i="45"/>
  <c r="H184" i="45"/>
  <c r="J141" i="45"/>
  <c r="I78" i="45"/>
  <c r="I56" i="45"/>
  <c r="J184" i="45"/>
  <c r="J171" i="45"/>
  <c r="I123" i="45"/>
  <c r="K36" i="45"/>
  <c r="H123" i="45"/>
  <c r="I91" i="45"/>
  <c r="J165" i="45"/>
  <c r="K35" i="45"/>
  <c r="H22" i="45"/>
  <c r="I75" i="45"/>
  <c r="I35" i="45"/>
  <c r="L149" i="45"/>
  <c r="J66" i="45"/>
  <c r="J164" i="45"/>
  <c r="J74" i="45"/>
  <c r="I39" i="45"/>
  <c r="K149" i="45"/>
  <c r="I66" i="45"/>
  <c r="J168" i="45"/>
  <c r="I164" i="45"/>
  <c r="L151" i="45"/>
  <c r="J149" i="45"/>
  <c r="J151" i="45"/>
  <c r="L144" i="45"/>
  <c r="I151" i="45"/>
  <c r="K144" i="45"/>
  <c r="J162" i="45"/>
  <c r="J40" i="45"/>
  <c r="H12" i="45"/>
  <c r="H16" i="45"/>
  <c r="I88" i="45"/>
  <c r="J112" i="45"/>
  <c r="J172" i="45"/>
  <c r="I125" i="45"/>
  <c r="J79" i="45"/>
  <c r="L38" i="45"/>
  <c r="I65" i="45"/>
  <c r="I112" i="45"/>
  <c r="I172" i="45"/>
  <c r="K142" i="45"/>
  <c r="H125" i="45"/>
  <c r="J121" i="45"/>
  <c r="J87" i="45"/>
  <c r="I82" i="45"/>
  <c r="H79" i="45"/>
  <c r="L47" i="45"/>
  <c r="J142" i="45"/>
  <c r="I121" i="45"/>
  <c r="J47" i="45"/>
  <c r="J14" i="45"/>
  <c r="I181" i="45"/>
  <c r="I171" i="45"/>
  <c r="J77" i="45"/>
  <c r="I67" i="45"/>
  <c r="H181" i="45"/>
  <c r="J145" i="45"/>
  <c r="J90" i="45"/>
  <c r="I85" i="45"/>
  <c r="I161" i="45"/>
  <c r="J76" i="45"/>
  <c r="J160" i="45"/>
  <c r="I140" i="45"/>
  <c r="J108" i="45"/>
  <c r="J102" i="45"/>
  <c r="J89" i="45"/>
  <c r="J84" i="45"/>
  <c r="I80" i="45"/>
  <c r="H76" i="45"/>
  <c r="J65" i="45"/>
  <c r="I160" i="45"/>
  <c r="I108" i="45"/>
  <c r="H89" i="45"/>
  <c r="I32" i="26"/>
  <c r="J32" i="26" s="1"/>
  <c r="L486" i="40"/>
  <c r="D20" i="26"/>
  <c r="C21" i="26"/>
  <c r="D624" i="40"/>
  <c r="L624" i="40"/>
  <c r="D577" i="40"/>
  <c r="D564" i="40"/>
  <c r="D499" i="40"/>
  <c r="D461" i="40"/>
  <c r="D438" i="40"/>
  <c r="D424" i="40"/>
  <c r="D382" i="40"/>
  <c r="D368" i="40"/>
  <c r="D325" i="40"/>
  <c r="D312" i="40"/>
  <c r="D300" i="40"/>
  <c r="D288" i="40"/>
  <c r="D276" i="40"/>
  <c r="D244" i="40"/>
  <c r="D231" i="40"/>
  <c r="D190" i="40"/>
  <c r="D177" i="40"/>
  <c r="D166" i="40"/>
  <c r="D153" i="40"/>
  <c r="D142" i="40"/>
  <c r="D101" i="40"/>
  <c r="D88" i="40"/>
  <c r="D65" i="40"/>
  <c r="D53" i="40"/>
  <c r="D41" i="40"/>
  <c r="K310" i="40"/>
  <c r="K55" i="40"/>
  <c r="G115" i="22"/>
  <c r="I115" i="22" s="1"/>
  <c r="G167" i="22"/>
  <c r="I167" i="22" s="1"/>
  <c r="G6" i="22"/>
  <c r="I6" i="22" s="1"/>
  <c r="C40" i="26"/>
  <c r="D39" i="26"/>
  <c r="C52" i="26"/>
  <c r="K60" i="40"/>
  <c r="K61" i="40"/>
  <c r="K62" i="40"/>
  <c r="D629" i="40"/>
  <c r="L629" i="40"/>
  <c r="D582" i="40"/>
  <c r="D492" i="40"/>
  <c r="D479" i="40"/>
  <c r="D443" i="40"/>
  <c r="D387" i="40"/>
  <c r="D375" i="40"/>
  <c r="D345" i="40"/>
  <c r="D317" i="40"/>
  <c r="D305" i="40"/>
  <c r="K293" i="40"/>
  <c r="D281" i="40"/>
  <c r="D249" i="40"/>
  <c r="D182" i="40"/>
  <c r="D171" i="40"/>
  <c r="D81" i="40"/>
  <c r="D70" i="40"/>
  <c r="D34" i="40"/>
  <c r="M553" i="40"/>
  <c r="K286" i="40"/>
  <c r="G129" i="22"/>
  <c r="I129" i="22" s="1"/>
  <c r="G61" i="22"/>
  <c r="G153" i="22"/>
  <c r="I153" i="22" s="1"/>
  <c r="J66" i="26"/>
  <c r="D82" i="40"/>
  <c r="D35" i="40"/>
  <c r="D627" i="40"/>
  <c r="D495" i="40"/>
  <c r="D491" i="40"/>
  <c r="D458" i="40"/>
  <c r="D422" i="40"/>
  <c r="D324" i="40"/>
  <c r="D299" i="40"/>
  <c r="D289" i="40"/>
  <c r="D239" i="40"/>
  <c r="D168" i="40"/>
  <c r="D141" i="40"/>
  <c r="D102" i="40"/>
  <c r="D94" i="40"/>
  <c r="E170" i="22"/>
  <c r="D367" i="40"/>
  <c r="D322" i="40"/>
  <c r="D314" i="40"/>
  <c r="D309" i="40"/>
  <c r="D304" i="40"/>
  <c r="D294" i="40"/>
  <c r="D282" i="40"/>
  <c r="D277" i="40"/>
  <c r="D165" i="40"/>
  <c r="D89" i="40"/>
  <c r="D75" i="40"/>
  <c r="D69" i="40"/>
  <c r="D195" i="40"/>
  <c r="D170" i="40"/>
  <c r="D33" i="40"/>
  <c r="L628" i="40"/>
  <c r="D625" i="40"/>
  <c r="D581" i="40"/>
  <c r="D573" i="40"/>
  <c r="D405" i="40"/>
  <c r="D388" i="40"/>
  <c r="D384" i="40"/>
  <c r="D380" i="40"/>
  <c r="D376" i="40"/>
  <c r="D346" i="40"/>
  <c r="D297" i="40"/>
  <c r="D252" i="40"/>
  <c r="D248" i="40"/>
  <c r="D172" i="40"/>
  <c r="D80" i="40"/>
  <c r="H104" i="45"/>
  <c r="I104" i="45"/>
  <c r="J104" i="45"/>
  <c r="D91" i="40"/>
  <c r="D79" i="40"/>
  <c r="D68" i="40"/>
  <c r="D565" i="40"/>
  <c r="D500" i="40"/>
  <c r="D496" i="40"/>
  <c r="D459" i="40"/>
  <c r="D423" i="40"/>
  <c r="D307" i="40"/>
  <c r="D302" i="40"/>
  <c r="D275" i="40"/>
  <c r="D232" i="40"/>
  <c r="D169" i="40"/>
  <c r="D51" i="40"/>
  <c r="D39" i="40"/>
  <c r="H185" i="45"/>
  <c r="I185" i="45"/>
  <c r="J185" i="45"/>
  <c r="G106" i="22"/>
  <c r="I106" i="22" s="1"/>
  <c r="D192" i="40"/>
  <c r="D179" i="40"/>
  <c r="D90" i="40"/>
  <c r="D67" i="40"/>
  <c r="L626" i="40"/>
  <c r="D623" i="40"/>
  <c r="D561" i="40"/>
  <c r="D548" i="40"/>
  <c r="D480" i="40"/>
  <c r="D444" i="40"/>
  <c r="D440" i="40"/>
  <c r="D436" i="40"/>
  <c r="D432" i="40"/>
  <c r="D327" i="40"/>
  <c r="D280" i="40"/>
  <c r="D155" i="40"/>
  <c r="D87" i="40"/>
  <c r="F34" i="26"/>
  <c r="D191" i="40"/>
  <c r="D178" i="40"/>
  <c r="D167" i="40"/>
  <c r="D154" i="40"/>
  <c r="H142" i="40"/>
  <c r="D66" i="40"/>
  <c r="D54" i="40"/>
  <c r="D628" i="40"/>
  <c r="D578" i="40"/>
  <c r="D574" i="40"/>
  <c r="D406" i="40"/>
  <c r="D385" i="40"/>
  <c r="D381" i="40"/>
  <c r="D377" i="40"/>
  <c r="D347" i="40"/>
  <c r="D318" i="40"/>
  <c r="D315" i="40"/>
  <c r="D295" i="40"/>
  <c r="D290" i="40"/>
  <c r="D245" i="40"/>
  <c r="D241" i="40"/>
  <c r="D97" i="40"/>
  <c r="H17" i="45"/>
  <c r="H11" i="45"/>
  <c r="D283" i="40"/>
  <c r="D278" i="40"/>
  <c r="D237" i="40"/>
  <c r="D83" i="40"/>
  <c r="J10" i="45"/>
  <c r="G83" i="22"/>
  <c r="I83" i="22" s="1"/>
  <c r="G156" i="22"/>
  <c r="I156" i="22" s="1"/>
  <c r="G17" i="22"/>
  <c r="I17" i="22" s="1"/>
  <c r="G132" i="22"/>
  <c r="I132" i="22" s="1"/>
  <c r="J68" i="26"/>
  <c r="J63" i="26"/>
  <c r="D189" i="40"/>
  <c r="D152" i="40"/>
  <c r="D100" i="40"/>
  <c r="D64" i="40"/>
  <c r="D52" i="40"/>
  <c r="D40" i="40"/>
  <c r="D626" i="40"/>
  <c r="D562" i="40"/>
  <c r="D545" i="40"/>
  <c r="D481" i="40"/>
  <c r="D469" i="40"/>
  <c r="D441" i="40"/>
  <c r="D437" i="40"/>
  <c r="D433" i="40"/>
  <c r="D365" i="40"/>
  <c r="D323" i="40"/>
  <c r="D298" i="40"/>
  <c r="D183" i="40"/>
  <c r="K147" i="45"/>
  <c r="I147" i="45"/>
  <c r="D188" i="40"/>
  <c r="D151" i="40"/>
  <c r="D140" i="40"/>
  <c r="D99" i="40"/>
  <c r="D63" i="40"/>
  <c r="D583" i="40"/>
  <c r="D579" i="40"/>
  <c r="D575" i="40"/>
  <c r="D571" i="40"/>
  <c r="D407" i="40"/>
  <c r="D386" i="40"/>
  <c r="D378" i="40"/>
  <c r="D344" i="40"/>
  <c r="D321" i="40"/>
  <c r="D313" i="40"/>
  <c r="D308" i="40"/>
  <c r="D303" i="40"/>
  <c r="D250" i="40"/>
  <c r="D246" i="40"/>
  <c r="D242" i="40"/>
  <c r="D74" i="40"/>
  <c r="I143" i="45"/>
  <c r="K143" i="45"/>
  <c r="L143" i="45"/>
  <c r="I111" i="45"/>
  <c r="H111" i="45"/>
  <c r="D186" i="40"/>
  <c r="D150" i="40"/>
  <c r="D139" i="40"/>
  <c r="D98" i="40"/>
  <c r="D85" i="40"/>
  <c r="D73" i="40"/>
  <c r="D50" i="40"/>
  <c r="D38" i="40"/>
  <c r="L627" i="40"/>
  <c r="D563" i="40"/>
  <c r="D498" i="40"/>
  <c r="D494" i="40"/>
  <c r="D490" i="40"/>
  <c r="D425" i="40"/>
  <c r="D316" i="40"/>
  <c r="D238" i="40"/>
  <c r="D32" i="40"/>
  <c r="E134" i="22"/>
  <c r="E66" i="22"/>
  <c r="E58" i="22" s="1"/>
  <c r="E121" i="22"/>
  <c r="E79" i="22"/>
  <c r="E45" i="22"/>
  <c r="E158" i="22"/>
  <c r="D84" i="40"/>
  <c r="D49" i="40"/>
  <c r="D37" i="40"/>
  <c r="D546" i="40"/>
  <c r="D482" i="40"/>
  <c r="D446" i="40"/>
  <c r="D442" i="40"/>
  <c r="D434" i="40"/>
  <c r="D416" i="40"/>
  <c r="D366" i="40"/>
  <c r="D326" i="40"/>
  <c r="D319" i="40"/>
  <c r="D301" i="40"/>
  <c r="D296" i="40"/>
  <c r="D291" i="40"/>
  <c r="D274" i="40"/>
  <c r="E86" i="22"/>
  <c r="E12" i="22"/>
  <c r="D184" i="40"/>
  <c r="D96" i="40"/>
  <c r="D72" i="40"/>
  <c r="D36" i="40"/>
  <c r="L625" i="40"/>
  <c r="D580" i="40"/>
  <c r="D576" i="40"/>
  <c r="D572" i="40"/>
  <c r="D408" i="40"/>
  <c r="D383" i="40"/>
  <c r="D379" i="40"/>
  <c r="D306" i="40"/>
  <c r="D279" i="40"/>
  <c r="D251" i="40"/>
  <c r="D247" i="40"/>
  <c r="D243" i="40"/>
  <c r="D86" i="40"/>
  <c r="I106" i="45"/>
  <c r="H106" i="45"/>
  <c r="I40" i="45"/>
  <c r="K37" i="45"/>
  <c r="L146" i="45"/>
  <c r="I142" i="45"/>
  <c r="J128" i="45"/>
  <c r="J118" i="45"/>
  <c r="H90" i="45"/>
  <c r="I87" i="45"/>
  <c r="I84" i="45"/>
  <c r="I81" i="45"/>
  <c r="I77" i="45"/>
  <c r="I74" i="45"/>
  <c r="J166" i="45"/>
  <c r="J150" i="45"/>
  <c r="K146" i="45"/>
  <c r="I128" i="45"/>
  <c r="H199" i="48" s="1"/>
  <c r="K199" i="48" s="1"/>
  <c r="I118" i="45"/>
  <c r="J105" i="45"/>
  <c r="H81" i="45"/>
  <c r="K42" i="45"/>
  <c r="I166" i="45"/>
  <c r="I150" i="45"/>
  <c r="J146" i="45"/>
  <c r="I105" i="45"/>
  <c r="I42" i="45"/>
  <c r="L39" i="45"/>
  <c r="L152" i="45"/>
  <c r="K48" i="45"/>
  <c r="K39" i="45"/>
  <c r="I168" i="45"/>
  <c r="J152" i="45"/>
  <c r="J161" i="45"/>
  <c r="J140" i="45"/>
  <c r="I130" i="45"/>
  <c r="I120" i="45"/>
  <c r="J91" i="45"/>
  <c r="J88" i="45"/>
  <c r="J85" i="45"/>
  <c r="J82" i="45"/>
  <c r="J80" i="45"/>
  <c r="J78" i="45"/>
  <c r="J75" i="45"/>
  <c r="L199" i="48" l="1"/>
  <c r="M199" i="48"/>
  <c r="G107" i="48"/>
  <c r="G108" i="48"/>
  <c r="G106" i="48"/>
  <c r="J92" i="45"/>
  <c r="H205" i="48" s="1"/>
  <c r="J69" i="45"/>
  <c r="I49" i="45"/>
  <c r="J145" i="17"/>
  <c r="G107" i="17"/>
  <c r="G108" i="17"/>
  <c r="G106" i="17"/>
  <c r="E494" i="17"/>
  <c r="K494" i="17" s="1"/>
  <c r="J73" i="40"/>
  <c r="J93" i="40"/>
  <c r="J49" i="40"/>
  <c r="J32" i="40"/>
  <c r="J74" i="40"/>
  <c r="J100" i="40"/>
  <c r="J319" i="40"/>
  <c r="Q204" i="48" s="1"/>
  <c r="J316" i="40"/>
  <c r="Q201" i="48" s="1"/>
  <c r="J86" i="40"/>
  <c r="J313" i="40"/>
  <c r="J318" i="40"/>
  <c r="Q203" i="48" s="1"/>
  <c r="J36" i="40"/>
  <c r="J63" i="40"/>
  <c r="J83" i="40"/>
  <c r="J308" i="40"/>
  <c r="J275" i="40"/>
  <c r="J91" i="40"/>
  <c r="J277" i="40"/>
  <c r="J88" i="40"/>
  <c r="J312" i="40"/>
  <c r="J92" i="40"/>
  <c r="P351" i="40"/>
  <c r="N354" i="40"/>
  <c r="J52" i="40"/>
  <c r="J72" i="40"/>
  <c r="J38" i="40"/>
  <c r="J274" i="40"/>
  <c r="J64" i="40"/>
  <c r="J314" i="40"/>
  <c r="J81" i="40"/>
  <c r="N357" i="40"/>
  <c r="J306" i="40"/>
  <c r="Q199" i="48" s="1"/>
  <c r="J50" i="40"/>
  <c r="J97" i="40"/>
  <c r="N353" i="40"/>
  <c r="J71" i="40"/>
  <c r="J326" i="40"/>
  <c r="J84" i="40"/>
  <c r="J85" i="40"/>
  <c r="J79" i="40"/>
  <c r="J33" i="40"/>
  <c r="J89" i="40"/>
  <c r="J65" i="40"/>
  <c r="N362" i="40"/>
  <c r="J54" i="40"/>
  <c r="J51" i="40"/>
  <c r="J75" i="40"/>
  <c r="E51" i="26"/>
  <c r="P348" i="40"/>
  <c r="P364" i="40"/>
  <c r="O349" i="40"/>
  <c r="P352" i="40"/>
  <c r="N373" i="40"/>
  <c r="J311" i="40"/>
  <c r="I5" i="22"/>
  <c r="I56" i="17" s="1"/>
  <c r="N348" i="40"/>
  <c r="N349" i="40"/>
  <c r="O351" i="40"/>
  <c r="P362" i="40"/>
  <c r="J315" i="40"/>
  <c r="Q200" i="48" s="1"/>
  <c r="J66" i="40"/>
  <c r="I33" i="26"/>
  <c r="J33" i="26" s="1"/>
  <c r="F5" i="39" s="1"/>
  <c r="O348" i="40"/>
  <c r="N351" i="40"/>
  <c r="O353" i="40"/>
  <c r="J77" i="40"/>
  <c r="O362" i="40"/>
  <c r="J293" i="40"/>
  <c r="J59" i="40"/>
  <c r="J283" i="40"/>
  <c r="J94" i="40"/>
  <c r="J34" i="40"/>
  <c r="N355" i="40"/>
  <c r="P353" i="40"/>
  <c r="P354" i="40"/>
  <c r="P357" i="40"/>
  <c r="O389" i="40"/>
  <c r="J47" i="40"/>
  <c r="J307" i="40"/>
  <c r="J102" i="40"/>
  <c r="J35" i="40"/>
  <c r="J101" i="40"/>
  <c r="J325" i="40"/>
  <c r="D50" i="26"/>
  <c r="P355" i="40"/>
  <c r="O354" i="40"/>
  <c r="O357" i="40"/>
  <c r="P360" i="40"/>
  <c r="N389" i="40"/>
  <c r="J58" i="40"/>
  <c r="J21" i="40" s="1"/>
  <c r="J27" i="40" s="1"/>
  <c r="J61" i="40"/>
  <c r="J87" i="40"/>
  <c r="J304" i="40"/>
  <c r="J70" i="40"/>
  <c r="O363" i="40"/>
  <c r="O355" i="40"/>
  <c r="J310" i="40"/>
  <c r="N356" i="40"/>
  <c r="N370" i="40"/>
  <c r="P371" i="40"/>
  <c r="O360" i="40"/>
  <c r="P389" i="40"/>
  <c r="J55" i="40"/>
  <c r="J78" i="40"/>
  <c r="J67" i="40"/>
  <c r="J309" i="40"/>
  <c r="J82" i="40"/>
  <c r="J305" i="40"/>
  <c r="P363" i="40"/>
  <c r="P372" i="40"/>
  <c r="P350" i="40"/>
  <c r="P356" i="40"/>
  <c r="J45" i="40"/>
  <c r="O370" i="40"/>
  <c r="O371" i="40"/>
  <c r="P358" i="40"/>
  <c r="N360" i="40"/>
  <c r="J60" i="40"/>
  <c r="J23" i="40" s="1"/>
  <c r="J29" i="40" s="1"/>
  <c r="J48" i="40"/>
  <c r="J76" i="40"/>
  <c r="N363" i="40"/>
  <c r="O372" i="40"/>
  <c r="O350" i="40"/>
  <c r="O356" i="40"/>
  <c r="N369" i="40"/>
  <c r="P370" i="40"/>
  <c r="N371" i="40"/>
  <c r="O358" i="40"/>
  <c r="N374" i="40"/>
  <c r="J62" i="40"/>
  <c r="J44" i="40"/>
  <c r="J327" i="40"/>
  <c r="J90" i="40"/>
  <c r="J322" i="40"/>
  <c r="J317" i="40"/>
  <c r="Q202" i="48" s="1"/>
  <c r="J41" i="40"/>
  <c r="J276" i="40"/>
  <c r="P359" i="40"/>
  <c r="N372" i="40"/>
  <c r="N350" i="40"/>
  <c r="P390" i="40"/>
  <c r="P369" i="40"/>
  <c r="P361" i="40"/>
  <c r="N358" i="40"/>
  <c r="P374" i="40"/>
  <c r="J56" i="40"/>
  <c r="J19" i="40" s="1"/>
  <c r="J25" i="40" s="1"/>
  <c r="J80" i="40"/>
  <c r="O359" i="40"/>
  <c r="O364" i="40"/>
  <c r="O352" i="40"/>
  <c r="N390" i="40"/>
  <c r="O369" i="40"/>
  <c r="O361" i="40"/>
  <c r="P373" i="40"/>
  <c r="O374" i="40"/>
  <c r="J57" i="40"/>
  <c r="J68" i="40"/>
  <c r="J69" i="40"/>
  <c r="J53" i="40"/>
  <c r="N359" i="40"/>
  <c r="N364" i="40"/>
  <c r="P349" i="40"/>
  <c r="N352" i="40"/>
  <c r="O390" i="40"/>
  <c r="N361" i="40"/>
  <c r="O373" i="40"/>
  <c r="O346" i="40"/>
  <c r="P346" i="40"/>
  <c r="N346" i="40"/>
  <c r="N347" i="40"/>
  <c r="O347" i="40"/>
  <c r="P347" i="40"/>
  <c r="P376" i="40"/>
  <c r="N376" i="40"/>
  <c r="O376" i="40"/>
  <c r="N387" i="40"/>
  <c r="P387" i="40"/>
  <c r="O387" i="40"/>
  <c r="N375" i="40"/>
  <c r="P375" i="40"/>
  <c r="O375" i="40"/>
  <c r="P377" i="40"/>
  <c r="N377" i="40"/>
  <c r="O377" i="40"/>
  <c r="O380" i="40"/>
  <c r="P380" i="40"/>
  <c r="N380" i="40"/>
  <c r="N386" i="40"/>
  <c r="O386" i="40"/>
  <c r="P386" i="40"/>
  <c r="N385" i="40"/>
  <c r="O385" i="40"/>
  <c r="P385" i="40"/>
  <c r="P388" i="40"/>
  <c r="N388" i="40"/>
  <c r="O388" i="40"/>
  <c r="P368" i="40"/>
  <c r="O368" i="40"/>
  <c r="N368" i="40"/>
  <c r="O378" i="40"/>
  <c r="P378" i="40"/>
  <c r="N378" i="40"/>
  <c r="N382" i="40"/>
  <c r="O382" i="40"/>
  <c r="P382" i="40"/>
  <c r="O383" i="40"/>
  <c r="P383" i="40"/>
  <c r="N383" i="40"/>
  <c r="O367" i="40"/>
  <c r="P367" i="40"/>
  <c r="N367" i="40"/>
  <c r="N345" i="40"/>
  <c r="O345" i="40"/>
  <c r="P345" i="40"/>
  <c r="P365" i="40"/>
  <c r="N365" i="40"/>
  <c r="O365" i="40"/>
  <c r="O379" i="40"/>
  <c r="P379" i="40"/>
  <c r="N379" i="40"/>
  <c r="N381" i="40"/>
  <c r="O381" i="40"/>
  <c r="P381" i="40"/>
  <c r="N384" i="40"/>
  <c r="O384" i="40"/>
  <c r="P384" i="40"/>
  <c r="O366" i="40"/>
  <c r="N366" i="40"/>
  <c r="P366" i="40"/>
  <c r="K214" i="21"/>
  <c r="J120" i="21"/>
  <c r="J133" i="21" s="1"/>
  <c r="K88" i="21"/>
  <c r="I35" i="26"/>
  <c r="J35" i="26" s="1"/>
  <c r="H5" i="39" s="1"/>
  <c r="I34" i="26"/>
  <c r="J34" i="26" s="1"/>
  <c r="G5" i="39" s="1"/>
  <c r="I80" i="22"/>
  <c r="I205" i="48" s="1"/>
  <c r="I51" i="26"/>
  <c r="J51" i="26" s="1"/>
  <c r="L6" i="39" s="1"/>
  <c r="G55" i="22"/>
  <c r="I55" i="22" s="1"/>
  <c r="J17" i="21"/>
  <c r="J20" i="21" s="1"/>
  <c r="I19" i="26"/>
  <c r="J19" i="26" s="1"/>
  <c r="I5" i="39" s="1"/>
  <c r="I49" i="26"/>
  <c r="J49" i="26" s="1"/>
  <c r="J6" i="39" s="1"/>
  <c r="I65" i="22"/>
  <c r="J101" i="21"/>
  <c r="I38" i="22"/>
  <c r="K252" i="21"/>
  <c r="I13" i="22"/>
  <c r="I57" i="48" s="1"/>
  <c r="I100" i="22"/>
  <c r="I217" i="48" s="1"/>
  <c r="I208" i="48" s="1"/>
  <c r="M214" i="21"/>
  <c r="M217" i="21" s="1"/>
  <c r="K59" i="21"/>
  <c r="K64" i="21" s="1"/>
  <c r="L101" i="21"/>
  <c r="K152" i="21"/>
  <c r="K158" i="21" s="1"/>
  <c r="G158" i="22"/>
  <c r="I158" i="22" s="1"/>
  <c r="J504" i="48" s="1"/>
  <c r="J497" i="48" s="1"/>
  <c r="G20" i="22"/>
  <c r="I20" i="22" s="1"/>
  <c r="G107" i="22"/>
  <c r="I107" i="22" s="1"/>
  <c r="J217" i="48" s="1"/>
  <c r="J208" i="48" s="1"/>
  <c r="G121" i="22"/>
  <c r="I121" i="22" s="1"/>
  <c r="J228" i="48" s="1"/>
  <c r="J221" i="48" s="1"/>
  <c r="G45" i="22"/>
  <c r="I45" i="22" s="1"/>
  <c r="G12" i="22"/>
  <c r="I12" i="22" s="1"/>
  <c r="G134" i="22"/>
  <c r="I134" i="22" s="1"/>
  <c r="J493" i="48" s="1"/>
  <c r="J492" i="48" s="1"/>
  <c r="G66" i="22"/>
  <c r="G86" i="22"/>
  <c r="I86" i="22" s="1"/>
  <c r="J205" i="48" s="1"/>
  <c r="G79" i="22"/>
  <c r="I79" i="22" s="1"/>
  <c r="L252" i="21"/>
  <c r="G170" i="22"/>
  <c r="I170" i="22" s="1"/>
  <c r="J732" i="48" s="1"/>
  <c r="J152" i="21"/>
  <c r="J163" i="21" s="1"/>
  <c r="I71" i="22"/>
  <c r="I114" i="22"/>
  <c r="I228" i="48" s="1"/>
  <c r="I221" i="48" s="1"/>
  <c r="I62" i="22"/>
  <c r="L120" i="21"/>
  <c r="K120" i="21"/>
  <c r="K123" i="21" s="1"/>
  <c r="I165" i="22"/>
  <c r="I732" i="48" s="1"/>
  <c r="L214" i="21"/>
  <c r="L218" i="21" s="1"/>
  <c r="L232" i="21"/>
  <c r="G504" i="48" s="1"/>
  <c r="E10" i="26"/>
  <c r="H10" i="26"/>
  <c r="J232" i="21"/>
  <c r="G505" i="48" s="1"/>
  <c r="J178" i="21"/>
  <c r="J38" i="26"/>
  <c r="U6" i="39" s="1"/>
  <c r="N214" i="21"/>
  <c r="N218" i="21" s="1"/>
  <c r="K178" i="21"/>
  <c r="G217" i="48" s="1"/>
  <c r="L17" i="21"/>
  <c r="L20" i="21" s="1"/>
  <c r="G57" i="48" s="1"/>
  <c r="E50" i="26"/>
  <c r="H50" i="26"/>
  <c r="D12" i="26"/>
  <c r="C13" i="26"/>
  <c r="J252" i="21"/>
  <c r="G732" i="48" s="1"/>
  <c r="K101" i="21"/>
  <c r="G145" i="48" s="1"/>
  <c r="E11" i="26"/>
  <c r="H11" i="26"/>
  <c r="K89" i="21"/>
  <c r="L152" i="21"/>
  <c r="J229" i="17"/>
  <c r="K232" i="21"/>
  <c r="K196" i="21"/>
  <c r="J505" i="17"/>
  <c r="J196" i="21"/>
  <c r="G229" i="48" s="1"/>
  <c r="L196" i="21"/>
  <c r="G228" i="48" s="1"/>
  <c r="L178" i="21"/>
  <c r="J59" i="21"/>
  <c r="L59" i="21"/>
  <c r="H69" i="45"/>
  <c r="H187" i="45"/>
  <c r="H732" i="48" s="1"/>
  <c r="I69" i="45"/>
  <c r="H145" i="48" s="1"/>
  <c r="I61" i="22"/>
  <c r="G53" i="22"/>
  <c r="I53" i="22" s="1"/>
  <c r="J23" i="45"/>
  <c r="H57" i="48" s="1"/>
  <c r="L153" i="45"/>
  <c r="H92" i="45"/>
  <c r="H23" i="45"/>
  <c r="J132" i="45"/>
  <c r="H228" i="48" s="1"/>
  <c r="I151" i="22"/>
  <c r="I504" i="48" s="1"/>
  <c r="I497" i="48" s="1"/>
  <c r="P139" i="40"/>
  <c r="O139" i="40"/>
  <c r="N139" i="40"/>
  <c r="K100" i="40"/>
  <c r="N170" i="40"/>
  <c r="P170" i="40"/>
  <c r="O170" i="40"/>
  <c r="K317" i="40"/>
  <c r="P245" i="40"/>
  <c r="O245" i="40"/>
  <c r="N245" i="40"/>
  <c r="K628" i="40"/>
  <c r="J628" i="40"/>
  <c r="P165" i="40"/>
  <c r="O165" i="40"/>
  <c r="N165" i="40"/>
  <c r="N491" i="40"/>
  <c r="P491" i="40"/>
  <c r="O491" i="40"/>
  <c r="K65" i="40"/>
  <c r="N177" i="40"/>
  <c r="P177" i="40"/>
  <c r="O177" i="40"/>
  <c r="K300" i="40"/>
  <c r="J300" i="40"/>
  <c r="P438" i="40"/>
  <c r="O438" i="40"/>
  <c r="N438" i="40"/>
  <c r="P246" i="40"/>
  <c r="O246" i="40"/>
  <c r="N246" i="40"/>
  <c r="K83" i="40"/>
  <c r="K68" i="40"/>
  <c r="P583" i="40"/>
  <c r="O583" i="40"/>
  <c r="N583" i="40"/>
  <c r="K90" i="40"/>
  <c r="O576" i="40"/>
  <c r="N576" i="40"/>
  <c r="P576" i="40"/>
  <c r="K291" i="40"/>
  <c r="J291" i="40"/>
  <c r="P150" i="40"/>
  <c r="O150" i="40"/>
  <c r="N150" i="40"/>
  <c r="K303" i="40"/>
  <c r="J303" i="40"/>
  <c r="N481" i="40"/>
  <c r="P481" i="40"/>
  <c r="O481" i="40"/>
  <c r="N152" i="40"/>
  <c r="P152" i="40"/>
  <c r="O152" i="40"/>
  <c r="K278" i="40"/>
  <c r="J278" i="40"/>
  <c r="K290" i="40"/>
  <c r="J290" i="40"/>
  <c r="K54" i="40"/>
  <c r="O191" i="40"/>
  <c r="N191" i="40"/>
  <c r="P191" i="40"/>
  <c r="N432" i="40"/>
  <c r="P432" i="40"/>
  <c r="O432" i="40"/>
  <c r="N169" i="40"/>
  <c r="O169" i="40"/>
  <c r="P169" i="40"/>
  <c r="K79" i="40"/>
  <c r="N195" i="40"/>
  <c r="N194" i="40" s="1"/>
  <c r="Q109" i="48" s="1"/>
  <c r="P195" i="40"/>
  <c r="P194" i="40" s="1"/>
  <c r="O195" i="40"/>
  <c r="O194" i="40" s="1"/>
  <c r="K277" i="40"/>
  <c r="N495" i="40"/>
  <c r="O495" i="40"/>
  <c r="P495" i="40"/>
  <c r="O182" i="40"/>
  <c r="P182" i="40"/>
  <c r="N182" i="40"/>
  <c r="N479" i="40"/>
  <c r="P479" i="40"/>
  <c r="O479" i="40"/>
  <c r="O241" i="40"/>
  <c r="P241" i="40"/>
  <c r="N241" i="40"/>
  <c r="O572" i="40"/>
  <c r="N572" i="40"/>
  <c r="P572" i="40"/>
  <c r="K327" i="40"/>
  <c r="P580" i="40"/>
  <c r="N580" i="40"/>
  <c r="O580" i="40"/>
  <c r="K296" i="40"/>
  <c r="J296" i="40"/>
  <c r="Q196" i="48" s="1"/>
  <c r="K308" i="40"/>
  <c r="N545" i="40"/>
  <c r="O545" i="40"/>
  <c r="P545" i="40"/>
  <c r="K283" i="40"/>
  <c r="K295" i="40"/>
  <c r="J295" i="40"/>
  <c r="N436" i="40"/>
  <c r="O436" i="40"/>
  <c r="P436" i="40"/>
  <c r="O179" i="40"/>
  <c r="P179" i="40"/>
  <c r="N179" i="40"/>
  <c r="O232" i="40"/>
  <c r="N232" i="40"/>
  <c r="P232" i="40"/>
  <c r="K282" i="40"/>
  <c r="J282" i="40"/>
  <c r="K94" i="40"/>
  <c r="K88" i="40"/>
  <c r="P190" i="40"/>
  <c r="O190" i="40"/>
  <c r="N190" i="40"/>
  <c r="K312" i="40"/>
  <c r="P461" i="40"/>
  <c r="O461" i="40"/>
  <c r="N461" i="40"/>
  <c r="O237" i="40"/>
  <c r="N237" i="40"/>
  <c r="P237" i="40"/>
  <c r="H132" i="45"/>
  <c r="H229" i="48" s="1"/>
  <c r="K86" i="40"/>
  <c r="K301" i="40"/>
  <c r="J301" i="40"/>
  <c r="K50" i="40"/>
  <c r="P186" i="40"/>
  <c r="N186" i="40"/>
  <c r="O186" i="40"/>
  <c r="K313" i="40"/>
  <c r="K99" i="40"/>
  <c r="J99" i="40"/>
  <c r="N562" i="40"/>
  <c r="O562" i="40"/>
  <c r="P562" i="40"/>
  <c r="P189" i="40"/>
  <c r="O189" i="40"/>
  <c r="N189" i="40"/>
  <c r="K315" i="40"/>
  <c r="K66" i="40"/>
  <c r="N440" i="40"/>
  <c r="P440" i="40"/>
  <c r="O440" i="40"/>
  <c r="K275" i="40"/>
  <c r="K91" i="40"/>
  <c r="J113" i="45"/>
  <c r="K294" i="40"/>
  <c r="J294" i="40"/>
  <c r="K102" i="40"/>
  <c r="K35" i="40"/>
  <c r="N492" i="40"/>
  <c r="P492" i="40"/>
  <c r="O492" i="40"/>
  <c r="D21" i="26"/>
  <c r="C22" i="26"/>
  <c r="P578" i="40"/>
  <c r="O578" i="40"/>
  <c r="N578" i="40"/>
  <c r="D40" i="26"/>
  <c r="C41" i="26"/>
  <c r="P250" i="40"/>
  <c r="N250" i="40"/>
  <c r="O250" i="40"/>
  <c r="N243" i="40"/>
  <c r="O243" i="40"/>
  <c r="P243" i="40"/>
  <c r="K36" i="40"/>
  <c r="K319" i="40"/>
  <c r="K626" i="40"/>
  <c r="J626" i="40"/>
  <c r="K318" i="40"/>
  <c r="O444" i="40"/>
  <c r="P444" i="40"/>
  <c r="N444" i="40"/>
  <c r="O192" i="40"/>
  <c r="N192" i="40"/>
  <c r="P192" i="40"/>
  <c r="K302" i="40"/>
  <c r="J302" i="40"/>
  <c r="I113" i="45"/>
  <c r="H217" i="48" s="1"/>
  <c r="H208" i="48" s="1"/>
  <c r="N405" i="40"/>
  <c r="P405" i="40"/>
  <c r="O405" i="40"/>
  <c r="K304" i="40"/>
  <c r="O141" i="40"/>
  <c r="N141" i="40"/>
  <c r="P141" i="40"/>
  <c r="N249" i="40"/>
  <c r="O249" i="40"/>
  <c r="P249" i="40"/>
  <c r="K101" i="40"/>
  <c r="P231" i="40"/>
  <c r="N231" i="40"/>
  <c r="O231" i="40"/>
  <c r="K325" i="40"/>
  <c r="N499" i="40"/>
  <c r="P499" i="40"/>
  <c r="O499" i="40"/>
  <c r="E20" i="26"/>
  <c r="H20" i="26"/>
  <c r="P546" i="40"/>
  <c r="O546" i="40"/>
  <c r="N546" i="40"/>
  <c r="P247" i="40"/>
  <c r="N247" i="40"/>
  <c r="O247" i="40"/>
  <c r="K326" i="40"/>
  <c r="K84" i="40"/>
  <c r="P238" i="40"/>
  <c r="O238" i="40"/>
  <c r="N238" i="40"/>
  <c r="K73" i="40"/>
  <c r="N344" i="40"/>
  <c r="P344" i="40"/>
  <c r="O344" i="40"/>
  <c r="N140" i="40"/>
  <c r="O140" i="40"/>
  <c r="P140" i="40"/>
  <c r="P183" i="40"/>
  <c r="O183" i="40"/>
  <c r="N183" i="40"/>
  <c r="K40" i="40"/>
  <c r="J40" i="40"/>
  <c r="N480" i="40"/>
  <c r="P480" i="40"/>
  <c r="O480" i="40"/>
  <c r="K307" i="40"/>
  <c r="H113" i="45"/>
  <c r="P573" i="40"/>
  <c r="O573" i="40"/>
  <c r="N573" i="40"/>
  <c r="K309" i="40"/>
  <c r="P168" i="40"/>
  <c r="O168" i="40"/>
  <c r="N168" i="40"/>
  <c r="K82" i="40"/>
  <c r="O582" i="40"/>
  <c r="N582" i="40"/>
  <c r="P582" i="40"/>
  <c r="O408" i="40"/>
  <c r="N408" i="40"/>
  <c r="P408" i="40"/>
  <c r="K39" i="40"/>
  <c r="J39" i="40"/>
  <c r="P458" i="40"/>
  <c r="O458" i="40"/>
  <c r="N458" i="40"/>
  <c r="N251" i="40"/>
  <c r="O251" i="40"/>
  <c r="P251" i="40"/>
  <c r="K298" i="40"/>
  <c r="J298" i="40"/>
  <c r="Q198" i="48" s="1"/>
  <c r="O548" i="40"/>
  <c r="N548" i="40"/>
  <c r="P548" i="40"/>
  <c r="P423" i="40"/>
  <c r="O423" i="40"/>
  <c r="N423" i="40"/>
  <c r="K80" i="40"/>
  <c r="N581" i="40"/>
  <c r="O581" i="40"/>
  <c r="P581" i="40"/>
  <c r="K314" i="40"/>
  <c r="P239" i="40"/>
  <c r="O239" i="40"/>
  <c r="N239" i="40"/>
  <c r="K281" i="40"/>
  <c r="J281" i="40"/>
  <c r="P142" i="40"/>
  <c r="N142" i="40"/>
  <c r="O142" i="40"/>
  <c r="P244" i="40"/>
  <c r="N244" i="40"/>
  <c r="O244" i="40"/>
  <c r="P563" i="40"/>
  <c r="N563" i="40"/>
  <c r="O563" i="40"/>
  <c r="N441" i="40"/>
  <c r="P441" i="40"/>
  <c r="O441" i="40"/>
  <c r="J174" i="45"/>
  <c r="H504" i="48" s="1"/>
  <c r="O416" i="40"/>
  <c r="N416" i="40"/>
  <c r="P416" i="40"/>
  <c r="N425" i="40"/>
  <c r="P425" i="40"/>
  <c r="O425" i="40"/>
  <c r="K85" i="40"/>
  <c r="K153" i="45"/>
  <c r="P151" i="40"/>
  <c r="P115" i="40" s="1"/>
  <c r="P121" i="40" s="1"/>
  <c r="N151" i="40"/>
  <c r="N115" i="40" s="1"/>
  <c r="N121" i="40" s="1"/>
  <c r="O151" i="40"/>
  <c r="O115" i="40" s="1"/>
  <c r="O121" i="40" s="1"/>
  <c r="K52" i="40"/>
  <c r="N418" i="40"/>
  <c r="O502" i="40"/>
  <c r="P218" i="40"/>
  <c r="O584" i="40"/>
  <c r="N503" i="40"/>
  <c r="N415" i="40"/>
  <c r="N427" i="40"/>
  <c r="P181" i="40"/>
  <c r="O505" i="40"/>
  <c r="O504" i="40" s="1"/>
  <c r="P554" i="40"/>
  <c r="O226" i="40"/>
  <c r="P559" i="40"/>
  <c r="P493" i="40"/>
  <c r="O214" i="40"/>
  <c r="O418" i="40"/>
  <c r="O157" i="40"/>
  <c r="O127" i="40" s="1"/>
  <c r="O133" i="40" s="1"/>
  <c r="P460" i="40"/>
  <c r="N157" i="40"/>
  <c r="N127" i="40" s="1"/>
  <c r="N133" i="40" s="1"/>
  <c r="O427" i="40"/>
  <c r="P225" i="40"/>
  <c r="P210" i="40" s="1"/>
  <c r="O174" i="40"/>
  <c r="P226" i="40"/>
  <c r="N586" i="40"/>
  <c r="N187" i="40"/>
  <c r="P552" i="40"/>
  <c r="O233" i="40"/>
  <c r="N553" i="40"/>
  <c r="N409" i="40"/>
  <c r="N181" i="40"/>
  <c r="N212" i="40"/>
  <c r="O553" i="40"/>
  <c r="O187" i="40"/>
  <c r="P431" i="40"/>
  <c r="N501" i="40"/>
  <c r="O484" i="40"/>
  <c r="O467" i="40"/>
  <c r="N218" i="40"/>
  <c r="O410" i="40"/>
  <c r="N502" i="40"/>
  <c r="N587" i="40"/>
  <c r="N468" i="40"/>
  <c r="O181" i="40"/>
  <c r="P149" i="40"/>
  <c r="P426" i="40"/>
  <c r="P143" i="40"/>
  <c r="P419" i="40"/>
  <c r="N158" i="40"/>
  <c r="O409" i="40"/>
  <c r="O554" i="40"/>
  <c r="O193" i="40"/>
  <c r="O159" i="40"/>
  <c r="O129" i="40" s="1"/>
  <c r="O135" i="40" s="1"/>
  <c r="N467" i="40"/>
  <c r="N435" i="40"/>
  <c r="N226" i="40"/>
  <c r="P158" i="40"/>
  <c r="P560" i="40"/>
  <c r="P427" i="40"/>
  <c r="N149" i="40"/>
  <c r="N214" i="40"/>
  <c r="O235" i="40"/>
  <c r="O217" i="40"/>
  <c r="O419" i="40"/>
  <c r="P233" i="40"/>
  <c r="O493" i="40"/>
  <c r="N463" i="40"/>
  <c r="P584" i="40"/>
  <c r="P553" i="40"/>
  <c r="N560" i="40"/>
  <c r="O218" i="40"/>
  <c r="O464" i="40"/>
  <c r="J292" i="40"/>
  <c r="P157" i="40"/>
  <c r="P127" i="40" s="1"/>
  <c r="P133" i="40" s="1"/>
  <c r="N473" i="40"/>
  <c r="N227" i="40"/>
  <c r="P221" i="40"/>
  <c r="P206" i="40" s="1"/>
  <c r="N143" i="40"/>
  <c r="N217" i="40"/>
  <c r="P468" i="40"/>
  <c r="P505" i="40"/>
  <c r="P504" i="40" s="1"/>
  <c r="N235" i="40"/>
  <c r="N550" i="40"/>
  <c r="O160" i="40"/>
  <c r="P212" i="40"/>
  <c r="N584" i="40"/>
  <c r="J323" i="40"/>
  <c r="N419" i="40"/>
  <c r="N144" i="40"/>
  <c r="O560" i="40"/>
  <c r="O435" i="40"/>
  <c r="O227" i="40"/>
  <c r="N493" i="40"/>
  <c r="O175" i="40"/>
  <c r="O421" i="40"/>
  <c r="P476" i="40"/>
  <c r="N180" i="40"/>
  <c r="O473" i="40"/>
  <c r="P175" i="40"/>
  <c r="P160" i="40"/>
  <c r="N420" i="40"/>
  <c r="O472" i="40"/>
  <c r="O149" i="40"/>
  <c r="O570" i="40"/>
  <c r="N439" i="40"/>
  <c r="O163" i="40"/>
  <c r="N411" i="40"/>
  <c r="O568" i="40"/>
  <c r="N164" i="40"/>
  <c r="P570" i="40"/>
  <c r="O221" i="40"/>
  <c r="O206" i="40" s="1"/>
  <c r="N489" i="40"/>
  <c r="N476" i="40"/>
  <c r="P193" i="40"/>
  <c r="P409" i="40"/>
  <c r="O551" i="40"/>
  <c r="N426" i="40"/>
  <c r="P465" i="40"/>
  <c r="O162" i="40"/>
  <c r="N559" i="40"/>
  <c r="P410" i="40"/>
  <c r="N487" i="40"/>
  <c r="O234" i="40"/>
  <c r="N417" i="40"/>
  <c r="O549" i="40"/>
  <c r="N566" i="40"/>
  <c r="O466" i="40"/>
  <c r="P569" i="40"/>
  <c r="O148" i="40"/>
  <c r="J42" i="40"/>
  <c r="P463" i="40"/>
  <c r="N159" i="40"/>
  <c r="N129" i="40" s="1"/>
  <c r="N135" i="40" s="1"/>
  <c r="O552" i="40"/>
  <c r="P235" i="40"/>
  <c r="O143" i="40"/>
  <c r="P503" i="40"/>
  <c r="P555" i="40"/>
  <c r="P474" i="40"/>
  <c r="O236" i="40"/>
  <c r="O439" i="40"/>
  <c r="N549" i="40"/>
  <c r="P144" i="40"/>
  <c r="P550" i="40"/>
  <c r="N486" i="40"/>
  <c r="O475" i="40"/>
  <c r="O463" i="40"/>
  <c r="O468" i="40"/>
  <c r="N430" i="40"/>
  <c r="O219" i="40"/>
  <c r="N470" i="40"/>
  <c r="O497" i="40"/>
  <c r="N412" i="40"/>
  <c r="O587" i="40"/>
  <c r="O501" i="40"/>
  <c r="O223" i="40"/>
  <c r="O208" i="40" s="1"/>
  <c r="N475" i="40"/>
  <c r="N462" i="40"/>
  <c r="J46" i="40"/>
  <c r="O216" i="40"/>
  <c r="P163" i="40"/>
  <c r="P159" i="40"/>
  <c r="P129" i="40" s="1"/>
  <c r="P135" i="40" s="1"/>
  <c r="O550" i="40"/>
  <c r="P162" i="40"/>
  <c r="O470" i="40"/>
  <c r="O487" i="40"/>
  <c r="N233" i="40"/>
  <c r="N556" i="40"/>
  <c r="P488" i="40"/>
  <c r="O465" i="40"/>
  <c r="O489" i="40"/>
  <c r="N472" i="40"/>
  <c r="O180" i="40"/>
  <c r="P173" i="40"/>
  <c r="O173" i="40"/>
  <c r="N160" i="40"/>
  <c r="O417" i="40"/>
  <c r="P588" i="40"/>
  <c r="J286" i="40"/>
  <c r="N478" i="40"/>
  <c r="O429" i="40"/>
  <c r="N588" i="40"/>
  <c r="P180" i="40"/>
  <c r="N569" i="40"/>
  <c r="P568" i="40"/>
  <c r="O471" i="40"/>
  <c r="O566" i="40"/>
  <c r="N465" i="40"/>
  <c r="N488" i="40"/>
  <c r="P420" i="40"/>
  <c r="P567" i="40"/>
  <c r="O477" i="40"/>
  <c r="P557" i="40"/>
  <c r="O476" i="40"/>
  <c r="P587" i="40"/>
  <c r="N484" i="40"/>
  <c r="P485" i="40"/>
  <c r="P486" i="40"/>
  <c r="O420" i="40"/>
  <c r="O555" i="40"/>
  <c r="O474" i="40"/>
  <c r="P214" i="40"/>
  <c r="N429" i="40"/>
  <c r="P224" i="40"/>
  <c r="P466" i="40"/>
  <c r="P501" i="40"/>
  <c r="P484" i="40"/>
  <c r="P478" i="40"/>
  <c r="N474" i="40"/>
  <c r="P227" i="40"/>
  <c r="P412" i="40"/>
  <c r="N213" i="40"/>
  <c r="P435" i="40"/>
  <c r="N221" i="40"/>
  <c r="N206" i="40" s="1"/>
  <c r="O588" i="40"/>
  <c r="P217" i="40"/>
  <c r="N555" i="40"/>
  <c r="O558" i="40"/>
  <c r="N568" i="40"/>
  <c r="P547" i="40"/>
  <c r="P219" i="40"/>
  <c r="P439" i="40"/>
  <c r="O559" i="40"/>
  <c r="N567" i="40"/>
  <c r="O462" i="40"/>
  <c r="N225" i="40"/>
  <c r="N210" i="40" s="1"/>
  <c r="P223" i="40"/>
  <c r="P208" i="40" s="1"/>
  <c r="P471" i="40"/>
  <c r="P473" i="40"/>
  <c r="N413" i="40"/>
  <c r="P222" i="40"/>
  <c r="O224" i="40"/>
  <c r="P414" i="40"/>
  <c r="N483" i="40"/>
  <c r="P551" i="40"/>
  <c r="O431" i="40"/>
  <c r="J284" i="40"/>
  <c r="P413" i="40"/>
  <c r="O586" i="40"/>
  <c r="O145" i="40"/>
  <c r="N211" i="40"/>
  <c r="N554" i="40"/>
  <c r="O547" i="40"/>
  <c r="P472" i="40"/>
  <c r="P176" i="40"/>
  <c r="P483" i="40"/>
  <c r="O503" i="40"/>
  <c r="N219" i="40"/>
  <c r="P415" i="40"/>
  <c r="P428" i="40"/>
  <c r="N431" i="40"/>
  <c r="O412" i="40"/>
  <c r="N224" i="40"/>
  <c r="P417" i="40"/>
  <c r="N421" i="40"/>
  <c r="N162" i="40"/>
  <c r="P497" i="40"/>
  <c r="P147" i="40"/>
  <c r="J287" i="40"/>
  <c r="P187" i="40"/>
  <c r="P216" i="40"/>
  <c r="P213" i="40"/>
  <c r="O158" i="40"/>
  <c r="N234" i="40"/>
  <c r="P489" i="40"/>
  <c r="P236" i="40"/>
  <c r="P411" i="40"/>
  <c r="O488" i="40"/>
  <c r="P429" i="40"/>
  <c r="P467" i="40"/>
  <c r="P211" i="40"/>
  <c r="O144" i="40"/>
  <c r="P464" i="40"/>
  <c r="O176" i="40"/>
  <c r="N161" i="40"/>
  <c r="N131" i="40" s="1"/>
  <c r="N137" i="40" s="1"/>
  <c r="N174" i="40"/>
  <c r="P145" i="40"/>
  <c r="P174" i="40"/>
  <c r="N485" i="40"/>
  <c r="N236" i="40"/>
  <c r="P566" i="40"/>
  <c r="N216" i="40"/>
  <c r="N410" i="40"/>
  <c r="O569" i="40"/>
  <c r="O557" i="40"/>
  <c r="O185" i="40"/>
  <c r="P556" i="40"/>
  <c r="N460" i="40"/>
  <c r="N148" i="40"/>
  <c r="J285" i="40"/>
  <c r="N163" i="40"/>
  <c r="J43" i="40"/>
  <c r="P148" i="40"/>
  <c r="P146" i="40"/>
  <c r="P234" i="40"/>
  <c r="O215" i="40"/>
  <c r="O211" i="40"/>
  <c r="O212" i="40"/>
  <c r="O164" i="40"/>
  <c r="P487" i="40"/>
  <c r="N570" i="40"/>
  <c r="O556" i="40"/>
  <c r="N428" i="40"/>
  <c r="P240" i="40"/>
  <c r="P185" i="40"/>
  <c r="O414" i="40"/>
  <c r="O485" i="40"/>
  <c r="O567" i="40"/>
  <c r="O478" i="40"/>
  <c r="N497" i="40"/>
  <c r="N558" i="40"/>
  <c r="N175" i="40"/>
  <c r="N146" i="40"/>
  <c r="N145" i="40"/>
  <c r="O146" i="40"/>
  <c r="P161" i="40"/>
  <c r="P131" i="40" s="1"/>
  <c r="P137" i="40" s="1"/>
  <c r="O426" i="40"/>
  <c r="O483" i="40"/>
  <c r="N471" i="40"/>
  <c r="N185" i="40"/>
  <c r="N477" i="40"/>
  <c r="P418" i="40"/>
  <c r="O460" i="40"/>
  <c r="O240" i="40"/>
  <c r="P502" i="40"/>
  <c r="N414" i="40"/>
  <c r="P475" i="40"/>
  <c r="O222" i="40"/>
  <c r="N193" i="40"/>
  <c r="O415" i="40"/>
  <c r="O428" i="40"/>
  <c r="P156" i="40"/>
  <c r="N176" i="40"/>
  <c r="P430" i="40"/>
  <c r="N505" i="40"/>
  <c r="N504" i="40" s="1"/>
  <c r="Q494" i="48" s="1"/>
  <c r="O156" i="40"/>
  <c r="P586" i="40"/>
  <c r="N156" i="40"/>
  <c r="P558" i="40"/>
  <c r="O430" i="40"/>
  <c r="N464" i="40"/>
  <c r="O411" i="40"/>
  <c r="P470" i="40"/>
  <c r="P164" i="40"/>
  <c r="N240" i="40"/>
  <c r="N222" i="40"/>
  <c r="O220" i="40"/>
  <c r="N557" i="40"/>
  <c r="P220" i="40"/>
  <c r="N223" i="40"/>
  <c r="N208" i="40" s="1"/>
  <c r="N147" i="40"/>
  <c r="O147" i="40"/>
  <c r="N215" i="40"/>
  <c r="O161" i="40"/>
  <c r="O131" i="40" s="1"/>
  <c r="O137" i="40" s="1"/>
  <c r="O413" i="40"/>
  <c r="P215" i="40"/>
  <c r="P421" i="40"/>
  <c r="N551" i="40"/>
  <c r="N547" i="40"/>
  <c r="N466" i="40"/>
  <c r="N220" i="40"/>
  <c r="O225" i="40"/>
  <c r="O210" i="40" s="1"/>
  <c r="O486" i="40"/>
  <c r="P462" i="40"/>
  <c r="N173" i="40"/>
  <c r="P549" i="40"/>
  <c r="P477" i="40"/>
  <c r="O213" i="40"/>
  <c r="N552" i="40"/>
  <c r="O154" i="40"/>
  <c r="N154" i="40"/>
  <c r="P154" i="40"/>
  <c r="N561" i="40"/>
  <c r="O561" i="40"/>
  <c r="P561" i="40"/>
  <c r="O459" i="40"/>
  <c r="N459" i="40"/>
  <c r="P459" i="40"/>
  <c r="O172" i="40"/>
  <c r="N172" i="40"/>
  <c r="P172" i="40"/>
  <c r="K625" i="40"/>
  <c r="J625" i="40"/>
  <c r="K322" i="40"/>
  <c r="K321" i="40" s="1"/>
  <c r="K289" i="40"/>
  <c r="J289" i="40"/>
  <c r="K70" i="40"/>
  <c r="D52" i="26"/>
  <c r="C53" i="26"/>
  <c r="N579" i="40"/>
  <c r="P579" i="40"/>
  <c r="O579" i="40"/>
  <c r="K280" i="40"/>
  <c r="J280" i="40"/>
  <c r="I153" i="45"/>
  <c r="H493" i="48" s="1"/>
  <c r="H492" i="48" s="1"/>
  <c r="K306" i="40"/>
  <c r="N434" i="40"/>
  <c r="O434" i="40"/>
  <c r="P434" i="40"/>
  <c r="N490" i="40"/>
  <c r="P490" i="40"/>
  <c r="O490" i="40"/>
  <c r="P407" i="40"/>
  <c r="N407" i="40"/>
  <c r="O407" i="40"/>
  <c r="K623" i="40"/>
  <c r="J623" i="40"/>
  <c r="O496" i="40"/>
  <c r="P496" i="40"/>
  <c r="N496" i="40"/>
  <c r="O248" i="40"/>
  <c r="N248" i="40"/>
  <c r="P248" i="40"/>
  <c r="K299" i="40"/>
  <c r="J299" i="40"/>
  <c r="K629" i="40"/>
  <c r="J629" i="40"/>
  <c r="K41" i="40"/>
  <c r="N153" i="40"/>
  <c r="N117" i="40" s="1"/>
  <c r="N123" i="40" s="1"/>
  <c r="P153" i="40"/>
  <c r="P117" i="40" s="1"/>
  <c r="P123" i="40" s="1"/>
  <c r="O153" i="40"/>
  <c r="O117" i="40" s="1"/>
  <c r="O123" i="40" s="1"/>
  <c r="K276" i="40"/>
  <c r="K274" i="40" s="1"/>
  <c r="K262" i="40" s="1"/>
  <c r="P564" i="40"/>
  <c r="N564" i="40"/>
  <c r="O564" i="40"/>
  <c r="P482" i="40"/>
  <c r="N482" i="40"/>
  <c r="O482" i="40"/>
  <c r="P178" i="40"/>
  <c r="N178" i="40"/>
  <c r="O178" i="40"/>
  <c r="K89" i="40"/>
  <c r="P469" i="40"/>
  <c r="O469" i="40"/>
  <c r="N469" i="40"/>
  <c r="K72" i="40"/>
  <c r="O442" i="40"/>
  <c r="P442" i="40"/>
  <c r="N442" i="40"/>
  <c r="O494" i="40"/>
  <c r="P494" i="40"/>
  <c r="N494" i="40"/>
  <c r="K98" i="40"/>
  <c r="J98" i="40"/>
  <c r="K74" i="40"/>
  <c r="N571" i="40"/>
  <c r="P571" i="40"/>
  <c r="O571" i="40"/>
  <c r="P188" i="40"/>
  <c r="N188" i="40"/>
  <c r="O188" i="40"/>
  <c r="O433" i="40"/>
  <c r="N433" i="40"/>
  <c r="P433" i="40"/>
  <c r="K64" i="40"/>
  <c r="K97" i="40"/>
  <c r="N406" i="40"/>
  <c r="O406" i="40"/>
  <c r="P406" i="40"/>
  <c r="N167" i="40"/>
  <c r="P167" i="40"/>
  <c r="O167" i="40"/>
  <c r="K87" i="40"/>
  <c r="P500" i="40"/>
  <c r="O500" i="40"/>
  <c r="N500" i="40"/>
  <c r="P252" i="40"/>
  <c r="O252" i="40"/>
  <c r="N252" i="40"/>
  <c r="K33" i="40"/>
  <c r="K69" i="40"/>
  <c r="K81" i="40"/>
  <c r="K305" i="40"/>
  <c r="P443" i="40"/>
  <c r="N443" i="40"/>
  <c r="O443" i="40"/>
  <c r="O171" i="40"/>
  <c r="P171" i="40"/>
  <c r="N171" i="40"/>
  <c r="J153" i="45"/>
  <c r="H199" i="17"/>
  <c r="I92" i="45"/>
  <c r="N184" i="40"/>
  <c r="O184" i="40"/>
  <c r="P184" i="40"/>
  <c r="O446" i="40"/>
  <c r="O445" i="40" s="1"/>
  <c r="N446" i="40"/>
  <c r="N445" i="40" s="1"/>
  <c r="Q229" i="48" s="1"/>
  <c r="P446" i="40"/>
  <c r="P445" i="40" s="1"/>
  <c r="P498" i="40"/>
  <c r="N498" i="40"/>
  <c r="O498" i="40"/>
  <c r="P242" i="40"/>
  <c r="N242" i="40"/>
  <c r="O242" i="40"/>
  <c r="P575" i="40"/>
  <c r="N575" i="40"/>
  <c r="O575" i="40"/>
  <c r="O437" i="40"/>
  <c r="P437" i="40"/>
  <c r="N437" i="40"/>
  <c r="O574" i="40"/>
  <c r="N574" i="40"/>
  <c r="P574" i="40"/>
  <c r="N155" i="40"/>
  <c r="N119" i="40" s="1"/>
  <c r="N125" i="40" s="1"/>
  <c r="O155" i="40"/>
  <c r="O119" i="40" s="1"/>
  <c r="O125" i="40" s="1"/>
  <c r="P155" i="40"/>
  <c r="P119" i="40" s="1"/>
  <c r="P125" i="40" s="1"/>
  <c r="K67" i="40"/>
  <c r="P565" i="40"/>
  <c r="N565" i="40"/>
  <c r="O565" i="40"/>
  <c r="K297" i="40"/>
  <c r="J297" i="40"/>
  <c r="Q197" i="48" s="1"/>
  <c r="K75" i="40"/>
  <c r="O422" i="40"/>
  <c r="P422" i="40"/>
  <c r="N422" i="40"/>
  <c r="I127" i="22"/>
  <c r="I493" i="48" s="1"/>
  <c r="I492" i="48" s="1"/>
  <c r="H39" i="26"/>
  <c r="E39" i="26"/>
  <c r="K53" i="40"/>
  <c r="N166" i="40"/>
  <c r="P166" i="40"/>
  <c r="O166" i="40"/>
  <c r="K288" i="40"/>
  <c r="J288" i="40"/>
  <c r="N424" i="40"/>
  <c r="O424" i="40"/>
  <c r="P424" i="40"/>
  <c r="P577" i="40"/>
  <c r="O577" i="40"/>
  <c r="N577" i="40"/>
  <c r="Q595" i="40" l="1"/>
  <c r="Q519" i="48" s="1"/>
  <c r="Q523" i="48" s="1"/>
  <c r="Q601" i="40"/>
  <c r="Q573" i="48" s="1"/>
  <c r="Q577" i="48" s="1"/>
  <c r="Q607" i="40"/>
  <c r="Q627" i="48" s="1"/>
  <c r="Q631" i="48" s="1"/>
  <c r="Q613" i="40"/>
  <c r="Q681" i="48" s="1"/>
  <c r="Q685" i="48" s="1"/>
  <c r="Q594" i="40"/>
  <c r="Q510" i="48" s="1"/>
  <c r="Q514" i="48" s="1"/>
  <c r="Q605" i="40"/>
  <c r="Q609" i="48" s="1"/>
  <c r="Q613" i="48" s="1"/>
  <c r="Q606" i="40"/>
  <c r="Q618" i="48" s="1"/>
  <c r="Q622" i="48" s="1"/>
  <c r="Q612" i="40"/>
  <c r="Q672" i="48" s="1"/>
  <c r="Q676" i="48" s="1"/>
  <c r="Q596" i="40"/>
  <c r="Q528" i="48" s="1"/>
  <c r="Q532" i="48" s="1"/>
  <c r="Q602" i="40"/>
  <c r="Q582" i="48" s="1"/>
  <c r="Q586" i="48" s="1"/>
  <c r="Q608" i="40"/>
  <c r="Q636" i="48" s="1"/>
  <c r="Q640" i="48" s="1"/>
  <c r="Q614" i="40"/>
  <c r="Q690" i="48" s="1"/>
  <c r="Q694" i="48" s="1"/>
  <c r="Q611" i="40"/>
  <c r="Q663" i="48" s="1"/>
  <c r="Q667" i="48" s="1"/>
  <c r="Q618" i="40"/>
  <c r="Q726" i="48" s="1"/>
  <c r="Q730" i="48" s="1"/>
  <c r="Q616" i="40"/>
  <c r="Q708" i="48" s="1"/>
  <c r="Q712" i="48" s="1"/>
  <c r="Q600" i="40"/>
  <c r="Q564" i="48" s="1"/>
  <c r="Q568" i="48" s="1"/>
  <c r="Q597" i="40"/>
  <c r="Q537" i="48" s="1"/>
  <c r="Q541" i="48" s="1"/>
  <c r="Q603" i="40"/>
  <c r="Q591" i="48" s="1"/>
  <c r="Q595" i="48" s="1"/>
  <c r="Q609" i="40"/>
  <c r="Q645" i="48" s="1"/>
  <c r="Q649" i="48" s="1"/>
  <c r="Q615" i="40"/>
  <c r="Q699" i="48" s="1"/>
  <c r="Q703" i="48" s="1"/>
  <c r="Q610" i="40"/>
  <c r="Q654" i="48" s="1"/>
  <c r="Q658" i="48" s="1"/>
  <c r="Q598" i="40"/>
  <c r="Q546" i="48" s="1"/>
  <c r="Q550" i="48" s="1"/>
  <c r="Q617" i="40"/>
  <c r="Q717" i="48" s="1"/>
  <c r="Q721" i="48" s="1"/>
  <c r="Q604" i="40"/>
  <c r="Q600" i="48" s="1"/>
  <c r="Q604" i="48" s="1"/>
  <c r="Q599" i="40"/>
  <c r="Q555" i="48" s="1"/>
  <c r="Q559" i="48" s="1"/>
  <c r="P608" i="40"/>
  <c r="Q635" i="48" s="1"/>
  <c r="Q639" i="48" s="1"/>
  <c r="P596" i="40"/>
  <c r="Q527" i="48" s="1"/>
  <c r="Q531" i="48" s="1"/>
  <c r="P602" i="40"/>
  <c r="Q581" i="48" s="1"/>
  <c r="Q585" i="48" s="1"/>
  <c r="P607" i="40"/>
  <c r="Q626" i="48" s="1"/>
  <c r="Q630" i="48" s="1"/>
  <c r="P595" i="40"/>
  <c r="Q518" i="48" s="1"/>
  <c r="Q522" i="48" s="1"/>
  <c r="P612" i="40"/>
  <c r="Q671" i="48" s="1"/>
  <c r="Q675" i="48" s="1"/>
  <c r="P618" i="40"/>
  <c r="Q725" i="48" s="1"/>
  <c r="Q729" i="48" s="1"/>
  <c r="P606" i="40"/>
  <c r="Q617" i="48" s="1"/>
  <c r="Q621" i="48" s="1"/>
  <c r="P594" i="40"/>
  <c r="Q509" i="48" s="1"/>
  <c r="Q513" i="48" s="1"/>
  <c r="P614" i="40"/>
  <c r="Q689" i="48" s="1"/>
  <c r="Q693" i="48" s="1"/>
  <c r="P617" i="40"/>
  <c r="Q716" i="48" s="1"/>
  <c r="Q720" i="48" s="1"/>
  <c r="P605" i="40"/>
  <c r="Q608" i="48" s="1"/>
  <c r="Q612" i="48" s="1"/>
  <c r="P600" i="40"/>
  <c r="Q563" i="48" s="1"/>
  <c r="Q567" i="48" s="1"/>
  <c r="P616" i="40"/>
  <c r="Q707" i="48" s="1"/>
  <c r="Q711" i="48" s="1"/>
  <c r="P604" i="40"/>
  <c r="Q599" i="48" s="1"/>
  <c r="Q603" i="48" s="1"/>
  <c r="P615" i="40"/>
  <c r="Q698" i="48" s="1"/>
  <c r="Q702" i="48" s="1"/>
  <c r="P603" i="40"/>
  <c r="Q590" i="48" s="1"/>
  <c r="Q594" i="48" s="1"/>
  <c r="P599" i="40"/>
  <c r="Q554" i="48" s="1"/>
  <c r="Q558" i="48" s="1"/>
  <c r="P598" i="40"/>
  <c r="Q545" i="48" s="1"/>
  <c r="Q549" i="48" s="1"/>
  <c r="P613" i="40"/>
  <c r="Q680" i="48" s="1"/>
  <c r="Q684" i="48" s="1"/>
  <c r="P601" i="40"/>
  <c r="Q572" i="48" s="1"/>
  <c r="Q576" i="48" s="1"/>
  <c r="P609" i="40"/>
  <c r="Q644" i="48" s="1"/>
  <c r="Q648" i="48" s="1"/>
  <c r="P597" i="40"/>
  <c r="Q536" i="48" s="1"/>
  <c r="Q540" i="48" s="1"/>
  <c r="P611" i="40"/>
  <c r="Q662" i="48" s="1"/>
  <c r="Q666" i="48" s="1"/>
  <c r="P610" i="40"/>
  <c r="Q653" i="48" s="1"/>
  <c r="Q657" i="48" s="1"/>
  <c r="R599" i="40"/>
  <c r="Q556" i="48" s="1"/>
  <c r="Q560" i="48" s="1"/>
  <c r="R595" i="40"/>
  <c r="Q520" i="48" s="1"/>
  <c r="Q524" i="48" s="1"/>
  <c r="R601" i="40"/>
  <c r="Q574" i="48" s="1"/>
  <c r="Q578" i="48" s="1"/>
  <c r="R607" i="40"/>
  <c r="Q628" i="48" s="1"/>
  <c r="Q632" i="48" s="1"/>
  <c r="R613" i="40"/>
  <c r="Q682" i="48" s="1"/>
  <c r="Q686" i="48" s="1"/>
  <c r="R594" i="40"/>
  <c r="Q511" i="48" s="1"/>
  <c r="Q515" i="48" s="1"/>
  <c r="R605" i="40"/>
  <c r="Q610" i="48" s="1"/>
  <c r="Q614" i="48" s="1"/>
  <c r="R596" i="40"/>
  <c r="Q529" i="48" s="1"/>
  <c r="Q533" i="48" s="1"/>
  <c r="R602" i="40"/>
  <c r="Q583" i="48" s="1"/>
  <c r="Q587" i="48" s="1"/>
  <c r="R608" i="40"/>
  <c r="Q637" i="48" s="1"/>
  <c r="Q641" i="48" s="1"/>
  <c r="R614" i="40"/>
  <c r="Q691" i="48" s="1"/>
  <c r="Q695" i="48" s="1"/>
  <c r="R617" i="40"/>
  <c r="Q718" i="48" s="1"/>
  <c r="Q722" i="48" s="1"/>
  <c r="R611" i="40"/>
  <c r="Q664" i="48" s="1"/>
  <c r="Q668" i="48" s="1"/>
  <c r="R597" i="40"/>
  <c r="Q538" i="48" s="1"/>
  <c r="Q542" i="48" s="1"/>
  <c r="R603" i="40"/>
  <c r="Q592" i="48" s="1"/>
  <c r="Q596" i="48" s="1"/>
  <c r="R609" i="40"/>
  <c r="Q646" i="48" s="1"/>
  <c r="Q650" i="48" s="1"/>
  <c r="R615" i="40"/>
  <c r="Q700" i="48" s="1"/>
  <c r="Q704" i="48" s="1"/>
  <c r="R598" i="40"/>
  <c r="Q547" i="48" s="1"/>
  <c r="Q551" i="48" s="1"/>
  <c r="R604" i="40"/>
  <c r="Q601" i="48" s="1"/>
  <c r="Q605" i="48" s="1"/>
  <c r="R610" i="40"/>
  <c r="Q655" i="48" s="1"/>
  <c r="Q659" i="48" s="1"/>
  <c r="R616" i="40"/>
  <c r="Q709" i="48" s="1"/>
  <c r="Q713" i="48" s="1"/>
  <c r="R600" i="40"/>
  <c r="Q565" i="48" s="1"/>
  <c r="Q569" i="48" s="1"/>
  <c r="R606" i="40"/>
  <c r="Q619" i="48" s="1"/>
  <c r="Q623" i="48" s="1"/>
  <c r="R612" i="40"/>
  <c r="Q673" i="48" s="1"/>
  <c r="Q677" i="48" s="1"/>
  <c r="R618" i="40"/>
  <c r="Q727" i="48" s="1"/>
  <c r="Q731" i="48" s="1"/>
  <c r="R533" i="40"/>
  <c r="Q442" i="48" s="1"/>
  <c r="Q446" i="48" s="1"/>
  <c r="R521" i="40"/>
  <c r="Q338" i="48" s="1"/>
  <c r="Q334" i="48" s="1"/>
  <c r="R512" i="40"/>
  <c r="Q253" i="48" s="1"/>
  <c r="Q257" i="48" s="1"/>
  <c r="R523" i="40"/>
  <c r="Q352" i="48" s="1"/>
  <c r="Q356" i="48" s="1"/>
  <c r="R532" i="40"/>
  <c r="Q433" i="48" s="1"/>
  <c r="Q437" i="48" s="1"/>
  <c r="R520" i="40"/>
  <c r="Q325" i="48" s="1"/>
  <c r="Q329" i="48" s="1"/>
  <c r="R527" i="40"/>
  <c r="Q388" i="48" s="1"/>
  <c r="Q392" i="48" s="1"/>
  <c r="R536" i="40"/>
  <c r="Q469" i="48" s="1"/>
  <c r="Q473" i="48" s="1"/>
  <c r="R531" i="40"/>
  <c r="Q424" i="48" s="1"/>
  <c r="Q428" i="48" s="1"/>
  <c r="R519" i="40"/>
  <c r="Q316" i="48" s="1"/>
  <c r="Q320" i="48" s="1"/>
  <c r="R515" i="40"/>
  <c r="Q280" i="48" s="1"/>
  <c r="Q284" i="48" s="1"/>
  <c r="R535" i="40"/>
  <c r="Q460" i="48" s="1"/>
  <c r="Q464" i="48" s="1"/>
  <c r="R530" i="40"/>
  <c r="Q415" i="48" s="1"/>
  <c r="Q419" i="48" s="1"/>
  <c r="R518" i="40"/>
  <c r="Q307" i="48" s="1"/>
  <c r="Q311" i="48" s="1"/>
  <c r="R513" i="40"/>
  <c r="Q262" i="48" s="1"/>
  <c r="Q266" i="48" s="1"/>
  <c r="R529" i="40"/>
  <c r="Q406" i="48" s="1"/>
  <c r="Q410" i="48" s="1"/>
  <c r="R517" i="40"/>
  <c r="Q298" i="48" s="1"/>
  <c r="Q302" i="48" s="1"/>
  <c r="R525" i="40"/>
  <c r="Q369" i="48" s="1"/>
  <c r="Q374" i="48" s="1"/>
  <c r="R528" i="40"/>
  <c r="Q397" i="48" s="1"/>
  <c r="Q401" i="48" s="1"/>
  <c r="R516" i="40"/>
  <c r="Q293" i="48" s="1"/>
  <c r="Q289" i="48" s="1"/>
  <c r="R511" i="40"/>
  <c r="Q244" i="48" s="1"/>
  <c r="Q248" i="48" s="1"/>
  <c r="R537" i="40"/>
  <c r="Q478" i="48" s="1"/>
  <c r="Q482" i="48" s="1"/>
  <c r="R538" i="40"/>
  <c r="Q487" i="48" s="1"/>
  <c r="Q491" i="48" s="1"/>
  <c r="R526" i="40"/>
  <c r="Q379" i="48" s="1"/>
  <c r="Q383" i="48" s="1"/>
  <c r="R514" i="40"/>
  <c r="Q271" i="48" s="1"/>
  <c r="Q275" i="48" s="1"/>
  <c r="R524" i="40"/>
  <c r="Q361" i="48" s="1"/>
  <c r="Q365" i="48" s="1"/>
  <c r="R534" i="40"/>
  <c r="Q451" i="48" s="1"/>
  <c r="Q455" i="48" s="1"/>
  <c r="R522" i="40"/>
  <c r="Q343" i="48" s="1"/>
  <c r="Q347" i="48" s="1"/>
  <c r="Q126" i="48"/>
  <c r="Q128" i="48"/>
  <c r="Q133" i="48"/>
  <c r="Q127" i="48"/>
  <c r="P528" i="40"/>
  <c r="Q395" i="48" s="1"/>
  <c r="Q399" i="48" s="1"/>
  <c r="P516" i="40"/>
  <c r="Q291" i="48" s="1"/>
  <c r="Q287" i="48" s="1"/>
  <c r="P532" i="40"/>
  <c r="Q431" i="48" s="1"/>
  <c r="Q435" i="48" s="1"/>
  <c r="P512" i="40"/>
  <c r="Q251" i="48" s="1"/>
  <c r="Q255" i="48" s="1"/>
  <c r="P527" i="40"/>
  <c r="Q386" i="48" s="1"/>
  <c r="Q390" i="48" s="1"/>
  <c r="P515" i="40"/>
  <c r="Q278" i="48" s="1"/>
  <c r="Q282" i="48" s="1"/>
  <c r="P519" i="40"/>
  <c r="Q314" i="48" s="1"/>
  <c r="Q318" i="48" s="1"/>
  <c r="P538" i="40"/>
  <c r="Q485" i="48" s="1"/>
  <c r="Q489" i="48" s="1"/>
  <c r="P526" i="40"/>
  <c r="Q377" i="48" s="1"/>
  <c r="Q381" i="48" s="1"/>
  <c r="P514" i="40"/>
  <c r="Q269" i="48" s="1"/>
  <c r="Q273" i="48" s="1"/>
  <c r="P537" i="40"/>
  <c r="Q476" i="48" s="1"/>
  <c r="Q480" i="48" s="1"/>
  <c r="P525" i="40"/>
  <c r="Q367" i="48" s="1"/>
  <c r="Q372" i="48" s="1"/>
  <c r="P513" i="40"/>
  <c r="Q260" i="48" s="1"/>
  <c r="Q264" i="48" s="1"/>
  <c r="P522" i="40"/>
  <c r="Q341" i="48" s="1"/>
  <c r="Q345" i="48" s="1"/>
  <c r="P511" i="40"/>
  <c r="Q242" i="48" s="1"/>
  <c r="Q246" i="48" s="1"/>
  <c r="P518" i="40"/>
  <c r="Q305" i="48" s="1"/>
  <c r="Q309" i="48" s="1"/>
  <c r="P536" i="40"/>
  <c r="Q467" i="48" s="1"/>
  <c r="Q471" i="48" s="1"/>
  <c r="P524" i="40"/>
  <c r="Q359" i="48" s="1"/>
  <c r="Q363" i="48" s="1"/>
  <c r="P531" i="40"/>
  <c r="Q422" i="48" s="1"/>
  <c r="Q426" i="48" s="1"/>
  <c r="P535" i="40"/>
  <c r="Q458" i="48" s="1"/>
  <c r="Q462" i="48" s="1"/>
  <c r="P523" i="40"/>
  <c r="Q350" i="48" s="1"/>
  <c r="Q354" i="48" s="1"/>
  <c r="P534" i="40"/>
  <c r="Q449" i="48" s="1"/>
  <c r="Q453" i="48" s="1"/>
  <c r="P533" i="40"/>
  <c r="Q440" i="48" s="1"/>
  <c r="Q444" i="48" s="1"/>
  <c r="P521" i="40"/>
  <c r="Q336" i="48" s="1"/>
  <c r="Q332" i="48" s="1"/>
  <c r="P530" i="40"/>
  <c r="Q413" i="48" s="1"/>
  <c r="Q417" i="48" s="1"/>
  <c r="P529" i="40"/>
  <c r="Q404" i="48" s="1"/>
  <c r="Q408" i="48" s="1"/>
  <c r="P517" i="40"/>
  <c r="Q296" i="48" s="1"/>
  <c r="Q300" i="48" s="1"/>
  <c r="P520" i="40"/>
  <c r="Q323" i="48" s="1"/>
  <c r="Q327" i="48" s="1"/>
  <c r="Q89" i="48"/>
  <c r="Q88" i="48"/>
  <c r="Q90" i="48"/>
  <c r="Q535" i="40"/>
  <c r="Q459" i="48" s="1"/>
  <c r="Q463" i="48" s="1"/>
  <c r="Q523" i="40"/>
  <c r="Q351" i="48" s="1"/>
  <c r="Q355" i="48" s="1"/>
  <c r="Q514" i="40"/>
  <c r="Q270" i="48" s="1"/>
  <c r="Q274" i="48" s="1"/>
  <c r="Q534" i="40"/>
  <c r="Q450" i="48" s="1"/>
  <c r="Q454" i="48" s="1"/>
  <c r="Q522" i="40"/>
  <c r="Q342" i="48" s="1"/>
  <c r="Q346" i="48" s="1"/>
  <c r="Q515" i="40"/>
  <c r="Q279" i="48" s="1"/>
  <c r="Q283" i="48" s="1"/>
  <c r="Q513" i="40"/>
  <c r="Q261" i="48" s="1"/>
  <c r="Q265" i="48" s="1"/>
  <c r="Q533" i="40"/>
  <c r="Q441" i="48" s="1"/>
  <c r="Q445" i="48" s="1"/>
  <c r="Q521" i="40"/>
  <c r="Q337" i="48" s="1"/>
  <c r="Q333" i="48" s="1"/>
  <c r="Q527" i="40"/>
  <c r="Q387" i="48" s="1"/>
  <c r="Q391" i="48" s="1"/>
  <c r="Q526" i="40"/>
  <c r="Q378" i="48" s="1"/>
  <c r="Q382" i="48" s="1"/>
  <c r="Q532" i="40"/>
  <c r="Q432" i="48" s="1"/>
  <c r="Q436" i="48" s="1"/>
  <c r="Q520" i="40"/>
  <c r="Q324" i="48" s="1"/>
  <c r="Q328" i="48" s="1"/>
  <c r="Q538" i="40"/>
  <c r="Q486" i="48" s="1"/>
  <c r="Q490" i="48" s="1"/>
  <c r="Q531" i="40"/>
  <c r="Q423" i="48" s="1"/>
  <c r="Q427" i="48" s="1"/>
  <c r="Q519" i="40"/>
  <c r="Q315" i="48" s="1"/>
  <c r="Q319" i="48" s="1"/>
  <c r="Q511" i="40"/>
  <c r="Q243" i="48" s="1"/>
  <c r="Q247" i="48" s="1"/>
  <c r="Q517" i="40"/>
  <c r="Q297" i="48" s="1"/>
  <c r="Q301" i="48" s="1"/>
  <c r="Q537" i="40"/>
  <c r="Q477" i="48" s="1"/>
  <c r="Q481" i="48" s="1"/>
  <c r="Q530" i="40"/>
  <c r="Q414" i="48" s="1"/>
  <c r="Q418" i="48" s="1"/>
  <c r="Q518" i="40"/>
  <c r="Q306" i="48" s="1"/>
  <c r="Q310" i="48" s="1"/>
  <c r="Q528" i="40"/>
  <c r="Q396" i="48" s="1"/>
  <c r="Q400" i="48" s="1"/>
  <c r="Q516" i="40"/>
  <c r="Q292" i="48" s="1"/>
  <c r="Q288" i="48" s="1"/>
  <c r="Q536" i="40"/>
  <c r="Q468" i="48" s="1"/>
  <c r="Q472" i="48" s="1"/>
  <c r="Q524" i="40"/>
  <c r="Q360" i="48" s="1"/>
  <c r="Q364" i="48" s="1"/>
  <c r="Q512" i="40"/>
  <c r="Q252" i="48" s="1"/>
  <c r="Q256" i="48" s="1"/>
  <c r="Q529" i="40"/>
  <c r="Q405" i="48" s="1"/>
  <c r="Q409" i="48" s="1"/>
  <c r="Q525" i="40"/>
  <c r="Q368" i="48" s="1"/>
  <c r="Q373" i="48" s="1"/>
  <c r="Q76" i="48"/>
  <c r="Q75" i="48"/>
  <c r="Q87" i="48"/>
  <c r="Q74" i="48"/>
  <c r="Q86" i="48"/>
  <c r="Q85" i="48"/>
  <c r="Q79" i="48"/>
  <c r="Q80" i="48"/>
  <c r="Q78" i="48"/>
  <c r="Q129" i="48"/>
  <c r="Q136" i="48"/>
  <c r="Q137" i="48" s="1"/>
  <c r="Q138" i="48" s="1"/>
  <c r="Q130" i="48"/>
  <c r="Q131" i="48"/>
  <c r="Q82" i="48"/>
  <c r="Q81" i="48"/>
  <c r="Q83" i="48"/>
  <c r="Q211" i="48"/>
  <c r="Q216" i="48"/>
  <c r="K145" i="48"/>
  <c r="L145" i="48" s="1"/>
  <c r="M145" i="48" s="1"/>
  <c r="K229" i="48"/>
  <c r="L229" i="48" s="1"/>
  <c r="M229" i="48" s="1"/>
  <c r="H211" i="48"/>
  <c r="H216" i="48" s="1"/>
  <c r="H210" i="48"/>
  <c r="H215" i="48" s="1"/>
  <c r="H209" i="48"/>
  <c r="H213" i="48"/>
  <c r="H214" i="48" s="1"/>
  <c r="H56" i="48"/>
  <c r="H11" i="48" s="1"/>
  <c r="H55" i="48"/>
  <c r="H10" i="48" s="1"/>
  <c r="H54" i="48"/>
  <c r="H9" i="48" s="1"/>
  <c r="H106" i="48"/>
  <c r="H61" i="48" s="1"/>
  <c r="H107" i="48"/>
  <c r="H62" i="48" s="1"/>
  <c r="H108" i="48"/>
  <c r="H63" i="48" s="1"/>
  <c r="H195" i="48"/>
  <c r="H150" i="48" s="1"/>
  <c r="H194" i="48"/>
  <c r="H149" i="48" s="1"/>
  <c r="H193" i="48"/>
  <c r="H148" i="48" s="1"/>
  <c r="H139" i="48"/>
  <c r="H112" i="48" s="1"/>
  <c r="H141" i="48"/>
  <c r="H114" i="48" s="1"/>
  <c r="H140" i="48"/>
  <c r="H113" i="48" s="1"/>
  <c r="H505" i="48"/>
  <c r="H497" i="48" s="1"/>
  <c r="H221" i="48"/>
  <c r="H234" i="48"/>
  <c r="H232" i="48"/>
  <c r="H233" i="48"/>
  <c r="H737" i="48"/>
  <c r="H736" i="48"/>
  <c r="H735" i="48"/>
  <c r="I213" i="48"/>
  <c r="I214" i="48" s="1"/>
  <c r="I209" i="48"/>
  <c r="I211" i="48"/>
  <c r="I216" i="48" s="1"/>
  <c r="I210" i="48"/>
  <c r="I215" i="48" s="1"/>
  <c r="I225" i="48"/>
  <c r="I227" i="48" s="1"/>
  <c r="I223" i="48"/>
  <c r="I222" i="48"/>
  <c r="I226" i="48" s="1"/>
  <c r="I54" i="48"/>
  <c r="I9" i="48" s="1"/>
  <c r="I56" i="48"/>
  <c r="I11" i="48" s="1"/>
  <c r="I55" i="48"/>
  <c r="I10" i="48" s="1"/>
  <c r="I194" i="48"/>
  <c r="I149" i="48" s="1"/>
  <c r="I195" i="48"/>
  <c r="I150" i="48" s="1"/>
  <c r="I193" i="48"/>
  <c r="I148" i="48" s="1"/>
  <c r="I55" i="17"/>
  <c r="I54" i="17"/>
  <c r="K57" i="48"/>
  <c r="N57" i="48" s="1"/>
  <c r="I22" i="22"/>
  <c r="I501" i="48"/>
  <c r="I509" i="48"/>
  <c r="I518" i="48" s="1"/>
  <c r="I527" i="48" s="1"/>
  <c r="I536" i="48" s="1"/>
  <c r="I545" i="48" s="1"/>
  <c r="I498" i="48"/>
  <c r="I232" i="48"/>
  <c r="I234" i="48"/>
  <c r="I233" i="48"/>
  <c r="I737" i="48"/>
  <c r="I736" i="48"/>
  <c r="I735" i="48"/>
  <c r="I106" i="48"/>
  <c r="I61" i="48" s="1"/>
  <c r="I107" i="48"/>
  <c r="I62" i="48" s="1"/>
  <c r="I108" i="48"/>
  <c r="I63" i="48" s="1"/>
  <c r="G139" i="48"/>
  <c r="G140" i="48"/>
  <c r="G141" i="48"/>
  <c r="G736" i="48"/>
  <c r="K736" i="48" s="1"/>
  <c r="G737" i="48"/>
  <c r="G735" i="48"/>
  <c r="K732" i="48"/>
  <c r="J193" i="48"/>
  <c r="J148" i="48" s="1"/>
  <c r="J194" i="48"/>
  <c r="J149" i="48" s="1"/>
  <c r="J195" i="48"/>
  <c r="J150" i="48" s="1"/>
  <c r="J157" i="48"/>
  <c r="G221" i="48"/>
  <c r="K228" i="48"/>
  <c r="L228" i="48" s="1"/>
  <c r="M228" i="48" s="1"/>
  <c r="K504" i="48"/>
  <c r="L504" i="48" s="1"/>
  <c r="M504" i="48" s="1"/>
  <c r="G497" i="48"/>
  <c r="J233" i="48"/>
  <c r="J232" i="48"/>
  <c r="J234" i="48"/>
  <c r="J55" i="48"/>
  <c r="J10" i="48" s="1"/>
  <c r="J56" i="48"/>
  <c r="J11" i="48" s="1"/>
  <c r="J54" i="48"/>
  <c r="J9" i="48" s="1"/>
  <c r="J108" i="48"/>
  <c r="J63" i="48" s="1"/>
  <c r="J106" i="48"/>
  <c r="J61" i="48" s="1"/>
  <c r="J107" i="48"/>
  <c r="J62" i="48" s="1"/>
  <c r="G208" i="48"/>
  <c r="K217" i="48"/>
  <c r="J225" i="48"/>
  <c r="J227" i="48" s="1"/>
  <c r="J223" i="48"/>
  <c r="J222" i="48"/>
  <c r="J226" i="48" s="1"/>
  <c r="K217" i="21"/>
  <c r="G493" i="48"/>
  <c r="J210" i="48"/>
  <c r="J215" i="48" s="1"/>
  <c r="J213" i="48"/>
  <c r="J214" i="48" s="1"/>
  <c r="J211" i="48"/>
  <c r="J216" i="48" s="1"/>
  <c r="J209" i="48"/>
  <c r="G61" i="48"/>
  <c r="J498" i="48"/>
  <c r="J509" i="48"/>
  <c r="J518" i="48" s="1"/>
  <c r="J527" i="48" s="1"/>
  <c r="J536" i="48" s="1"/>
  <c r="J545" i="48" s="1"/>
  <c r="J501" i="48"/>
  <c r="G63" i="48"/>
  <c r="J735" i="48"/>
  <c r="J737" i="48"/>
  <c r="J736" i="48"/>
  <c r="G25" i="48"/>
  <c r="G54" i="48"/>
  <c r="G62" i="48"/>
  <c r="Q131" i="17"/>
  <c r="Q130" i="17"/>
  <c r="Q129" i="17"/>
  <c r="P209" i="40"/>
  <c r="P207" i="40"/>
  <c r="P205" i="40"/>
  <c r="N209" i="40"/>
  <c r="Q128" i="17"/>
  <c r="Q127" i="17"/>
  <c r="N207" i="40"/>
  <c r="Q126" i="17"/>
  <c r="N205" i="40"/>
  <c r="O209" i="40"/>
  <c r="O207" i="40"/>
  <c r="O205" i="40"/>
  <c r="Q83" i="17"/>
  <c r="Q82" i="17"/>
  <c r="Q81" i="17"/>
  <c r="Q80" i="17"/>
  <c r="Q79" i="17"/>
  <c r="Q78" i="17"/>
  <c r="Q90" i="17"/>
  <c r="Q89" i="17"/>
  <c r="Q88" i="17"/>
  <c r="Q76" i="17"/>
  <c r="Q75" i="17"/>
  <c r="Q74" i="17"/>
  <c r="Q87" i="17"/>
  <c r="Q86" i="17"/>
  <c r="Q85" i="17"/>
  <c r="N136" i="40"/>
  <c r="Q102" i="48" s="1"/>
  <c r="N128" i="40"/>
  <c r="Q94" i="48" s="1"/>
  <c r="N120" i="40"/>
  <c r="Q68" i="48" s="1"/>
  <c r="N134" i="40"/>
  <c r="Q101" i="48" s="1"/>
  <c r="N126" i="40"/>
  <c r="Q93" i="48" s="1"/>
  <c r="N118" i="40"/>
  <c r="Q108" i="48" s="1"/>
  <c r="Q63" i="48" s="1"/>
  <c r="N132" i="40"/>
  <c r="Q100" i="48" s="1"/>
  <c r="N124" i="40"/>
  <c r="Q70" i="48" s="1"/>
  <c r="N116" i="40"/>
  <c r="Q107" i="48" s="1"/>
  <c r="Q62" i="48" s="1"/>
  <c r="N130" i="40"/>
  <c r="Q95" i="48" s="1"/>
  <c r="N122" i="40"/>
  <c r="Q69" i="48" s="1"/>
  <c r="N114" i="40"/>
  <c r="Q106" i="48" s="1"/>
  <c r="Q61" i="48" s="1"/>
  <c r="P136" i="40"/>
  <c r="Q105" i="48" s="1"/>
  <c r="P128" i="40"/>
  <c r="Q97" i="48" s="1"/>
  <c r="P120" i="40"/>
  <c r="Q71" i="48" s="1"/>
  <c r="P134" i="40"/>
  <c r="Q104" i="48" s="1"/>
  <c r="P126" i="40"/>
  <c r="Q96" i="48" s="1"/>
  <c r="P118" i="40"/>
  <c r="Q66" i="48" s="1"/>
  <c r="P122" i="40"/>
  <c r="Q72" i="48" s="1"/>
  <c r="P132" i="40"/>
  <c r="Q103" i="48" s="1"/>
  <c r="P124" i="40"/>
  <c r="Q73" i="48" s="1"/>
  <c r="P116" i="40"/>
  <c r="Q65" i="48" s="1"/>
  <c r="P114" i="40"/>
  <c r="Q64" i="48" s="1"/>
  <c r="P130" i="40"/>
  <c r="Q98" i="48" s="1"/>
  <c r="O136" i="40"/>
  <c r="O128" i="40"/>
  <c r="O120" i="40"/>
  <c r="O134" i="40"/>
  <c r="O126" i="40"/>
  <c r="O118" i="40"/>
  <c r="O132" i="40"/>
  <c r="O124" i="40"/>
  <c r="O116" i="40"/>
  <c r="O130" i="40"/>
  <c r="O122" i="40"/>
  <c r="O114" i="40"/>
  <c r="J262" i="40"/>
  <c r="J264" i="40" s="1"/>
  <c r="J266" i="40" s="1"/>
  <c r="J272" i="40"/>
  <c r="J270" i="40"/>
  <c r="J268" i="40"/>
  <c r="J37" i="21"/>
  <c r="J27" i="21"/>
  <c r="G25" i="17"/>
  <c r="L27" i="21"/>
  <c r="N230" i="40"/>
  <c r="N229" i="40"/>
  <c r="Q145" i="48" s="1"/>
  <c r="P230" i="40"/>
  <c r="P229" i="40"/>
  <c r="O230" i="40"/>
  <c r="O229" i="40"/>
  <c r="O456" i="40"/>
  <c r="Q237" i="48" s="1"/>
  <c r="O455" i="40"/>
  <c r="Q233" i="48" s="1"/>
  <c r="P342" i="40"/>
  <c r="Q215" i="48" s="1"/>
  <c r="P341" i="40"/>
  <c r="Q210" i="48" s="1"/>
  <c r="O342" i="40"/>
  <c r="Q214" i="48" s="1"/>
  <c r="O341" i="40"/>
  <c r="Q209" i="48" s="1"/>
  <c r="N543" i="40"/>
  <c r="N342" i="40"/>
  <c r="Q213" i="48" s="1"/>
  <c r="N341" i="40"/>
  <c r="Q217" i="48" s="1"/>
  <c r="Q208" i="48" s="1"/>
  <c r="P403" i="40"/>
  <c r="Q227" i="48" s="1"/>
  <c r="P402" i="40"/>
  <c r="Q223" i="48" s="1"/>
  <c r="O543" i="40"/>
  <c r="O402" i="40"/>
  <c r="Q222" i="48" s="1"/>
  <c r="O403" i="40"/>
  <c r="Q226" i="48" s="1"/>
  <c r="P543" i="40"/>
  <c r="N402" i="40"/>
  <c r="Q228" i="48" s="1"/>
  <c r="Q221" i="48" s="1"/>
  <c r="N403" i="40"/>
  <c r="Q225" i="48" s="1"/>
  <c r="P456" i="40"/>
  <c r="Q238" i="48" s="1"/>
  <c r="P455" i="40"/>
  <c r="Q234" i="48" s="1"/>
  <c r="N456" i="40"/>
  <c r="Q236" i="48" s="1"/>
  <c r="N455" i="40"/>
  <c r="J11" i="40"/>
  <c r="J17" i="40" s="1"/>
  <c r="J9" i="40"/>
  <c r="J15" i="40" s="1"/>
  <c r="J7" i="40"/>
  <c r="J13" i="40" s="1"/>
  <c r="J96" i="40"/>
  <c r="Q32" i="48" s="1"/>
  <c r="G493" i="17"/>
  <c r="G492" i="17" s="1"/>
  <c r="G217" i="17"/>
  <c r="G145" i="17"/>
  <c r="J321" i="40"/>
  <c r="J217" i="17"/>
  <c r="J324" i="40"/>
  <c r="J30" i="40"/>
  <c r="Q211" i="17"/>
  <c r="Q216" i="17"/>
  <c r="L494" i="17"/>
  <c r="M494" i="17" s="1"/>
  <c r="Q136" i="17"/>
  <c r="Q137" i="17" s="1"/>
  <c r="Q138" i="17" s="1"/>
  <c r="Q133" i="17"/>
  <c r="J732" i="17"/>
  <c r="J157" i="17"/>
  <c r="J205" i="17"/>
  <c r="J54" i="17"/>
  <c r="J9" i="17" s="1"/>
  <c r="J55" i="17"/>
  <c r="J10" i="17" s="1"/>
  <c r="J56" i="17"/>
  <c r="J11" i="17" s="1"/>
  <c r="J228" i="17"/>
  <c r="J221" i="17" s="1"/>
  <c r="J504" i="17"/>
  <c r="J497" i="17" s="1"/>
  <c r="J509" i="17" s="1"/>
  <c r="J518" i="17" s="1"/>
  <c r="J527" i="17" s="1"/>
  <c r="J536" i="17" s="1"/>
  <c r="K30" i="40"/>
  <c r="K6" i="40" s="1"/>
  <c r="K96" i="40"/>
  <c r="K95" i="40" s="1"/>
  <c r="K324" i="40"/>
  <c r="K320" i="40" s="1"/>
  <c r="K273" i="40"/>
  <c r="K261" i="40" s="1"/>
  <c r="K263" i="40" s="1"/>
  <c r="K265" i="40" s="1"/>
  <c r="K316" i="40"/>
  <c r="K311" i="40"/>
  <c r="J273" i="40"/>
  <c r="I93" i="22"/>
  <c r="I493" i="17"/>
  <c r="I492" i="17" s="1"/>
  <c r="I162" i="22"/>
  <c r="I174" i="22"/>
  <c r="I228" i="17"/>
  <c r="I221" i="17" s="1"/>
  <c r="I29" i="22"/>
  <c r="I24" i="22"/>
  <c r="I57" i="17"/>
  <c r="I10" i="17" s="1"/>
  <c r="I92" i="22"/>
  <c r="I106" i="17"/>
  <c r="I61" i="17" s="1"/>
  <c r="J132" i="21"/>
  <c r="J23" i="21"/>
  <c r="G54" i="17"/>
  <c r="L124" i="21"/>
  <c r="L129" i="21" s="1"/>
  <c r="L126" i="21"/>
  <c r="L132" i="21"/>
  <c r="J236" i="21"/>
  <c r="G57" i="17"/>
  <c r="L37" i="21"/>
  <c r="G732" i="17"/>
  <c r="J103" i="21"/>
  <c r="L103" i="21"/>
  <c r="G504" i="17"/>
  <c r="H140" i="17"/>
  <c r="H57" i="17"/>
  <c r="H56" i="17"/>
  <c r="H54" i="17"/>
  <c r="H55" i="17"/>
  <c r="H493" i="17"/>
  <c r="J156" i="45"/>
  <c r="I156" i="45"/>
  <c r="K156" i="45"/>
  <c r="L156" i="45"/>
  <c r="I90" i="22"/>
  <c r="I205" i="17"/>
  <c r="I97" i="22"/>
  <c r="I94" i="22"/>
  <c r="I20" i="26"/>
  <c r="J20" i="26" s="1"/>
  <c r="J5" i="39" s="1"/>
  <c r="I10" i="26"/>
  <c r="J10" i="26" s="1"/>
  <c r="V5" i="39" s="1"/>
  <c r="I217" i="17"/>
  <c r="L123" i="21"/>
  <c r="I51" i="22"/>
  <c r="I50" i="26"/>
  <c r="J50" i="26" s="1"/>
  <c r="K6" i="39" s="1"/>
  <c r="I111" i="22"/>
  <c r="L131" i="21"/>
  <c r="J104" i="21"/>
  <c r="I11" i="26"/>
  <c r="J11" i="26" s="1"/>
  <c r="W5" i="39" s="1"/>
  <c r="J162" i="21"/>
  <c r="J161" i="21"/>
  <c r="I108" i="17"/>
  <c r="H192" i="45"/>
  <c r="J160" i="21"/>
  <c r="I107" i="17"/>
  <c r="I48" i="22"/>
  <c r="G141" i="17"/>
  <c r="G140" i="17"/>
  <c r="J181" i="21"/>
  <c r="G139" i="17"/>
  <c r="K62" i="21"/>
  <c r="K132" i="21"/>
  <c r="L133" i="21"/>
  <c r="K104" i="21"/>
  <c r="J156" i="21"/>
  <c r="K160" i="21"/>
  <c r="J158" i="21"/>
  <c r="K163" i="21"/>
  <c r="J157" i="21"/>
  <c r="K161" i="21"/>
  <c r="J155" i="21"/>
  <c r="I35" i="22"/>
  <c r="I32" i="22"/>
  <c r="M218" i="21"/>
  <c r="K69" i="21"/>
  <c r="J126" i="21"/>
  <c r="I59" i="22"/>
  <c r="J159" i="21"/>
  <c r="K70" i="21"/>
  <c r="K156" i="21"/>
  <c r="K71" i="21"/>
  <c r="J123" i="21"/>
  <c r="K68" i="21"/>
  <c r="J131" i="21"/>
  <c r="I88" i="22"/>
  <c r="I124" i="22"/>
  <c r="L236" i="21"/>
  <c r="L235" i="21"/>
  <c r="I195" i="17"/>
  <c r="K159" i="21"/>
  <c r="J125" i="21"/>
  <c r="L125" i="21"/>
  <c r="L130" i="21" s="1"/>
  <c r="K155" i="21"/>
  <c r="K66" i="21"/>
  <c r="J124" i="21"/>
  <c r="L104" i="21"/>
  <c r="K162" i="21"/>
  <c r="K67" i="21"/>
  <c r="K133" i="21"/>
  <c r="K63" i="21"/>
  <c r="K157" i="21"/>
  <c r="K65" i="21"/>
  <c r="J21" i="21"/>
  <c r="I96" i="22"/>
  <c r="I23" i="22"/>
  <c r="J193" i="17"/>
  <c r="J194" i="17"/>
  <c r="G58" i="22"/>
  <c r="I58" i="22" s="1"/>
  <c r="I66" i="22"/>
  <c r="J195" i="17"/>
  <c r="J493" i="17"/>
  <c r="I193" i="17"/>
  <c r="J22" i="21"/>
  <c r="I194" i="17"/>
  <c r="J108" i="17"/>
  <c r="J107" i="17"/>
  <c r="J106" i="17"/>
  <c r="J61" i="17" s="1"/>
  <c r="I175" i="22"/>
  <c r="H190" i="45"/>
  <c r="I28" i="22"/>
  <c r="I25" i="22"/>
  <c r="I33" i="22"/>
  <c r="I30" i="22"/>
  <c r="I26" i="22"/>
  <c r="I31" i="22"/>
  <c r="I34" i="22"/>
  <c r="K126" i="21"/>
  <c r="K125" i="21"/>
  <c r="K124" i="21"/>
  <c r="K131" i="21"/>
  <c r="K181" i="21"/>
  <c r="L217" i="21"/>
  <c r="J235" i="21"/>
  <c r="H228" i="17"/>
  <c r="I173" i="22"/>
  <c r="I732" i="17"/>
  <c r="L22" i="21"/>
  <c r="L29" i="21" s="1"/>
  <c r="L21" i="21"/>
  <c r="L28" i="21" s="1"/>
  <c r="N217" i="21"/>
  <c r="G505" i="17"/>
  <c r="J255" i="21"/>
  <c r="C14" i="26"/>
  <c r="D13" i="26"/>
  <c r="H145" i="17"/>
  <c r="J257" i="21"/>
  <c r="H12" i="26"/>
  <c r="E12" i="26"/>
  <c r="J256" i="21"/>
  <c r="I39" i="26"/>
  <c r="K622" i="40"/>
  <c r="L70" i="21"/>
  <c r="L62" i="21"/>
  <c r="L69" i="21"/>
  <c r="L64" i="21"/>
  <c r="L68" i="21"/>
  <c r="L63" i="21"/>
  <c r="L65" i="21"/>
  <c r="L71" i="21"/>
  <c r="L67" i="21"/>
  <c r="L66" i="21"/>
  <c r="K218" i="21"/>
  <c r="G62" i="17"/>
  <c r="L159" i="21"/>
  <c r="L160" i="21"/>
  <c r="L162" i="21"/>
  <c r="L158" i="21"/>
  <c r="L156" i="21"/>
  <c r="L161" i="21"/>
  <c r="L163" i="21"/>
  <c r="L157" i="21"/>
  <c r="L155" i="21"/>
  <c r="G228" i="17"/>
  <c r="L199" i="21"/>
  <c r="G229" i="17"/>
  <c r="J199" i="21"/>
  <c r="K199" i="21"/>
  <c r="J31" i="21"/>
  <c r="J34" i="21"/>
  <c r="J64" i="21"/>
  <c r="J68" i="21"/>
  <c r="J62" i="21"/>
  <c r="J66" i="21"/>
  <c r="J71" i="21"/>
  <c r="J63" i="21"/>
  <c r="J69" i="21"/>
  <c r="J67" i="21"/>
  <c r="J70" i="21"/>
  <c r="J65" i="21"/>
  <c r="K235" i="21"/>
  <c r="K236" i="21"/>
  <c r="G63" i="17"/>
  <c r="G61" i="17"/>
  <c r="H191" i="45"/>
  <c r="H732" i="17"/>
  <c r="H139" i="17"/>
  <c r="H141" i="17"/>
  <c r="I504" i="17"/>
  <c r="I161" i="22"/>
  <c r="H195" i="17"/>
  <c r="H194" i="17"/>
  <c r="H193" i="17"/>
  <c r="H107" i="17"/>
  <c r="H106" i="17"/>
  <c r="H108" i="17"/>
  <c r="L31" i="21"/>
  <c r="L34" i="21"/>
  <c r="L23" i="21"/>
  <c r="N585" i="40"/>
  <c r="Q505" i="48" s="1"/>
  <c r="Q202" i="17"/>
  <c r="K266" i="40"/>
  <c r="K264" i="40"/>
  <c r="H21" i="26"/>
  <c r="E21" i="26"/>
  <c r="Q196" i="17"/>
  <c r="O585" i="40"/>
  <c r="H205" i="17"/>
  <c r="Q200" i="17"/>
  <c r="Q109" i="17"/>
  <c r="Q197" i="17"/>
  <c r="J622" i="40"/>
  <c r="Q732" i="48" s="1"/>
  <c r="D53" i="26"/>
  <c r="C54" i="26"/>
  <c r="H217" i="17"/>
  <c r="Q204" i="17"/>
  <c r="E52" i="26"/>
  <c r="H52" i="26"/>
  <c r="P585" i="40"/>
  <c r="Q198" i="17"/>
  <c r="D41" i="26"/>
  <c r="C42" i="26"/>
  <c r="I148" i="22"/>
  <c r="I142" i="22"/>
  <c r="Q199" i="17"/>
  <c r="Q494" i="17"/>
  <c r="E40" i="26"/>
  <c r="H40" i="26"/>
  <c r="H504" i="17"/>
  <c r="H505" i="17" s="1"/>
  <c r="H497" i="17" s="1"/>
  <c r="H509" i="17" s="1"/>
  <c r="H518" i="17" s="1"/>
  <c r="H527" i="17" s="1"/>
  <c r="H536" i="17" s="1"/>
  <c r="J178" i="45"/>
  <c r="J177" i="45"/>
  <c r="Q203" i="17"/>
  <c r="H229" i="17"/>
  <c r="Q229" i="17"/>
  <c r="C23" i="26"/>
  <c r="D22" i="26"/>
  <c r="Q499" i="48" l="1"/>
  <c r="Q503" i="48" s="1"/>
  <c r="Q498" i="48"/>
  <c r="Q502" i="48" s="1"/>
  <c r="Q15" i="48"/>
  <c r="Q16" i="48"/>
  <c r="Q17" i="48"/>
  <c r="Q141" i="48"/>
  <c r="Q114" i="48" s="1"/>
  <c r="Q121" i="48"/>
  <c r="Q135" i="48"/>
  <c r="Q134" i="48"/>
  <c r="Q19" i="48"/>
  <c r="Q35" i="48" s="1"/>
  <c r="Q20" i="48"/>
  <c r="Q36" i="48" s="1"/>
  <c r="Q18" i="48"/>
  <c r="Q34" i="48" s="1"/>
  <c r="Q117" i="48"/>
  <c r="Q124" i="48"/>
  <c r="Q123" i="48"/>
  <c r="Q116" i="48"/>
  <c r="Q497" i="48"/>
  <c r="Q501" i="48" s="1"/>
  <c r="Q504" i="48"/>
  <c r="Q33" i="48"/>
  <c r="Q115" i="48"/>
  <c r="Q122" i="48"/>
  <c r="Q232" i="48"/>
  <c r="Q493" i="48"/>
  <c r="Q492" i="48" s="1"/>
  <c r="Q737" i="48"/>
  <c r="Q736" i="48"/>
  <c r="Q735" i="48"/>
  <c r="Q31" i="48"/>
  <c r="Q119" i="48"/>
  <c r="Q139" i="48"/>
  <c r="Q112" i="48" s="1"/>
  <c r="Q120" i="48"/>
  <c r="Q140" i="48"/>
  <c r="Q113" i="48" s="1"/>
  <c r="K505" i="48"/>
  <c r="L505" i="48" s="1"/>
  <c r="M505" i="48" s="1"/>
  <c r="H377" i="48"/>
  <c r="H386" i="48" s="1"/>
  <c r="H395" i="48" s="1"/>
  <c r="H404" i="48" s="1"/>
  <c r="H413" i="48" s="1"/>
  <c r="H422" i="48" s="1"/>
  <c r="H431" i="48" s="1"/>
  <c r="H440" i="48" s="1"/>
  <c r="H449" i="48" s="1"/>
  <c r="H458" i="48" s="1"/>
  <c r="H467" i="48" s="1"/>
  <c r="H260" i="48"/>
  <c r="H359" i="48"/>
  <c r="H296" i="48"/>
  <c r="H278" i="48"/>
  <c r="H287" i="48" s="1"/>
  <c r="H367" i="48"/>
  <c r="H236" i="48"/>
  <c r="H251" i="48"/>
  <c r="H323" i="48"/>
  <c r="H332" i="48" s="1"/>
  <c r="H341" i="48" s="1"/>
  <c r="H305" i="48"/>
  <c r="H242" i="48"/>
  <c r="H246" i="48"/>
  <c r="H255" i="48" s="1"/>
  <c r="H264" i="48" s="1"/>
  <c r="H269" i="48"/>
  <c r="H350" i="48"/>
  <c r="H314" i="48"/>
  <c r="H70" i="48"/>
  <c r="H73" i="48" s="1"/>
  <c r="H87" i="48"/>
  <c r="H90" i="48" s="1"/>
  <c r="H80" i="48"/>
  <c r="H83" i="48" s="1"/>
  <c r="H95" i="48"/>
  <c r="H76" i="48"/>
  <c r="H66" i="48"/>
  <c r="H163" i="48"/>
  <c r="H153" i="48"/>
  <c r="H156" i="48"/>
  <c r="H173" i="48"/>
  <c r="H159" i="48"/>
  <c r="H182" i="48" s="1"/>
  <c r="H225" i="48"/>
  <c r="H227" i="48" s="1"/>
  <c r="H222" i="48"/>
  <c r="H226" i="48" s="1"/>
  <c r="H223" i="48"/>
  <c r="H74" i="48"/>
  <c r="H64" i="48"/>
  <c r="H68" i="48"/>
  <c r="H71" i="48" s="1"/>
  <c r="H93" i="48"/>
  <c r="H78" i="48"/>
  <c r="H81" i="48" s="1"/>
  <c r="H85" i="48"/>
  <c r="H88" i="48" s="1"/>
  <c r="H360" i="48"/>
  <c r="H324" i="48"/>
  <c r="H333" i="48" s="1"/>
  <c r="H342" i="48" s="1"/>
  <c r="H306" i="48"/>
  <c r="H270" i="48"/>
  <c r="H252" i="48"/>
  <c r="H378" i="48"/>
  <c r="H387" i="48" s="1"/>
  <c r="H396" i="48" s="1"/>
  <c r="H405" i="48" s="1"/>
  <c r="H414" i="48" s="1"/>
  <c r="H423" i="48" s="1"/>
  <c r="H432" i="48" s="1"/>
  <c r="H441" i="48" s="1"/>
  <c r="H450" i="48" s="1"/>
  <c r="H459" i="48" s="1"/>
  <c r="H468" i="48" s="1"/>
  <c r="H351" i="48"/>
  <c r="H315" i="48"/>
  <c r="H261" i="48"/>
  <c r="H247" i="48"/>
  <c r="H256" i="48" s="1"/>
  <c r="H265" i="48" s="1"/>
  <c r="H297" i="48"/>
  <c r="H279" i="48"/>
  <c r="H288" i="48" s="1"/>
  <c r="H243" i="48"/>
  <c r="H368" i="48"/>
  <c r="H369" i="48"/>
  <c r="H244" i="48"/>
  <c r="H352" i="48"/>
  <c r="H325" i="48"/>
  <c r="H334" i="48" s="1"/>
  <c r="H343" i="48" s="1"/>
  <c r="H316" i="48"/>
  <c r="H307" i="48"/>
  <c r="H298" i="48"/>
  <c r="H280" i="48"/>
  <c r="H289" i="48" s="1"/>
  <c r="H253" i="48"/>
  <c r="H361" i="48"/>
  <c r="H262" i="48"/>
  <c r="H248" i="48"/>
  <c r="H257" i="48" s="1"/>
  <c r="H266" i="48" s="1"/>
  <c r="H271" i="48"/>
  <c r="H379" i="48"/>
  <c r="H388" i="48" s="1"/>
  <c r="H397" i="48" s="1"/>
  <c r="H406" i="48" s="1"/>
  <c r="H415" i="48" s="1"/>
  <c r="H424" i="48" s="1"/>
  <c r="H433" i="48" s="1"/>
  <c r="H442" i="48" s="1"/>
  <c r="H451" i="48" s="1"/>
  <c r="H460" i="48" s="1"/>
  <c r="H469" i="48" s="1"/>
  <c r="H21" i="48"/>
  <c r="H37" i="48" s="1"/>
  <c r="H44" i="48"/>
  <c r="H12" i="48"/>
  <c r="H25" i="48"/>
  <c r="H15" i="48"/>
  <c r="H31" i="48" s="1"/>
  <c r="H18" i="48"/>
  <c r="H34" i="48" s="1"/>
  <c r="H41" i="48"/>
  <c r="H498" i="48"/>
  <c r="H501" i="48"/>
  <c r="H509" i="48"/>
  <c r="H518" i="48" s="1"/>
  <c r="H527" i="48" s="1"/>
  <c r="H536" i="48" s="1"/>
  <c r="H545" i="48" s="1"/>
  <c r="H22" i="48"/>
  <c r="H38" i="48" s="1"/>
  <c r="H42" i="48"/>
  <c r="H13" i="48"/>
  <c r="H26" i="48"/>
  <c r="H45" i="48"/>
  <c r="H16" i="48"/>
  <c r="H32" i="48" s="1"/>
  <c r="H19" i="48"/>
  <c r="H35" i="48" s="1"/>
  <c r="H46" i="48"/>
  <c r="H43" i="48"/>
  <c r="H14" i="48"/>
  <c r="H27" i="48"/>
  <c r="H17" i="48"/>
  <c r="H33" i="48" s="1"/>
  <c r="H20" i="48"/>
  <c r="H36" i="48" s="1"/>
  <c r="H23" i="48"/>
  <c r="H39" i="48" s="1"/>
  <c r="H158" i="48"/>
  <c r="H181" i="48" s="1"/>
  <c r="H172" i="48"/>
  <c r="H155" i="48"/>
  <c r="H152" i="48"/>
  <c r="H162" i="48"/>
  <c r="H86" i="48"/>
  <c r="H89" i="48" s="1"/>
  <c r="H65" i="48"/>
  <c r="H69" i="48"/>
  <c r="H72" i="48" s="1"/>
  <c r="H75" i="48"/>
  <c r="H79" i="48"/>
  <c r="H82" i="48" s="1"/>
  <c r="H94" i="48"/>
  <c r="H127" i="48"/>
  <c r="H120" i="48"/>
  <c r="H116" i="48"/>
  <c r="H123" i="48" s="1"/>
  <c r="H126" i="48"/>
  <c r="H119" i="48"/>
  <c r="H115" i="48"/>
  <c r="H122" i="48" s="1"/>
  <c r="H121" i="48"/>
  <c r="H117" i="48"/>
  <c r="H124" i="48" s="1"/>
  <c r="H128" i="48"/>
  <c r="H157" i="48"/>
  <c r="H180" i="48" s="1"/>
  <c r="H154" i="48"/>
  <c r="H171" i="48"/>
  <c r="H161" i="48"/>
  <c r="H151" i="48"/>
  <c r="K54" i="48"/>
  <c r="N54" i="48" s="1"/>
  <c r="O54" i="48" s="1"/>
  <c r="P54" i="48" s="1"/>
  <c r="L57" i="48"/>
  <c r="M57" i="48" s="1"/>
  <c r="K737" i="48"/>
  <c r="N737" i="48" s="1"/>
  <c r="I513" i="48"/>
  <c r="I522" i="48" s="1"/>
  <c r="I531" i="48" s="1"/>
  <c r="I540" i="48" s="1"/>
  <c r="I549" i="48" s="1"/>
  <c r="I502" i="48"/>
  <c r="I514" i="48" s="1"/>
  <c r="I523" i="48" s="1"/>
  <c r="I532" i="48" s="1"/>
  <c r="I541" i="48" s="1"/>
  <c r="I550" i="48" s="1"/>
  <c r="I503" i="48"/>
  <c r="I515" i="48" s="1"/>
  <c r="I524" i="48" s="1"/>
  <c r="I533" i="48" s="1"/>
  <c r="I542" i="48" s="1"/>
  <c r="I551" i="48" s="1"/>
  <c r="I153" i="48"/>
  <c r="I163" i="48"/>
  <c r="I173" i="48"/>
  <c r="I156" i="48"/>
  <c r="I248" i="48"/>
  <c r="I257" i="48" s="1"/>
  <c r="I266" i="48" s="1"/>
  <c r="I238" i="48"/>
  <c r="I262" i="48"/>
  <c r="I307" i="48"/>
  <c r="I244" i="48"/>
  <c r="I253" i="48"/>
  <c r="I271" i="48"/>
  <c r="I298" i="48"/>
  <c r="I325" i="48"/>
  <c r="I334" i="48" s="1"/>
  <c r="I343" i="48" s="1"/>
  <c r="I280" i="48"/>
  <c r="I289" i="48" s="1"/>
  <c r="I379" i="48"/>
  <c r="I388" i="48" s="1"/>
  <c r="I397" i="48" s="1"/>
  <c r="I406" i="48" s="1"/>
  <c r="I415" i="48" s="1"/>
  <c r="I424" i="48" s="1"/>
  <c r="I433" i="48" s="1"/>
  <c r="I442" i="48" s="1"/>
  <c r="I451" i="48" s="1"/>
  <c r="I460" i="48" s="1"/>
  <c r="I469" i="48" s="1"/>
  <c r="I316" i="48"/>
  <c r="I369" i="48"/>
  <c r="I361" i="48"/>
  <c r="I352" i="48"/>
  <c r="I22" i="48"/>
  <c r="I38" i="48" s="1"/>
  <c r="I26" i="48"/>
  <c r="I42" i="48"/>
  <c r="I45" i="48" s="1"/>
  <c r="I16" i="48"/>
  <c r="I32" i="48" s="1"/>
  <c r="I13" i="48"/>
  <c r="I172" i="48"/>
  <c r="I162" i="48"/>
  <c r="I152" i="48"/>
  <c r="I155" i="48"/>
  <c r="I251" i="48"/>
  <c r="I377" i="48"/>
  <c r="I386" i="48" s="1"/>
  <c r="I395" i="48" s="1"/>
  <c r="I404" i="48" s="1"/>
  <c r="I413" i="48" s="1"/>
  <c r="I422" i="48" s="1"/>
  <c r="I431" i="48" s="1"/>
  <c r="I440" i="48" s="1"/>
  <c r="I449" i="48" s="1"/>
  <c r="I458" i="48" s="1"/>
  <c r="I467" i="48" s="1"/>
  <c r="I350" i="48"/>
  <c r="I367" i="48"/>
  <c r="I323" i="48"/>
  <c r="I332" i="48" s="1"/>
  <c r="I341" i="48" s="1"/>
  <c r="I242" i="48"/>
  <c r="I314" i="48"/>
  <c r="I260" i="48"/>
  <c r="I236" i="48"/>
  <c r="I305" i="48"/>
  <c r="I269" i="48"/>
  <c r="I278" i="48"/>
  <c r="I287" i="48" s="1"/>
  <c r="I359" i="48"/>
  <c r="I296" i="48"/>
  <c r="I246" i="48"/>
  <c r="I255" i="48" s="1"/>
  <c r="I264" i="48" s="1"/>
  <c r="I23" i="48"/>
  <c r="I39" i="48" s="1"/>
  <c r="I17" i="48"/>
  <c r="I33" i="48" s="1"/>
  <c r="I43" i="48"/>
  <c r="I46" i="48" s="1"/>
  <c r="I14" i="48"/>
  <c r="I27" i="48"/>
  <c r="I279" i="48"/>
  <c r="I288" i="48" s="1"/>
  <c r="I261" i="48"/>
  <c r="I297" i="48"/>
  <c r="I378" i="48"/>
  <c r="I387" i="48" s="1"/>
  <c r="I396" i="48" s="1"/>
  <c r="I405" i="48" s="1"/>
  <c r="I414" i="48" s="1"/>
  <c r="I423" i="48" s="1"/>
  <c r="I432" i="48" s="1"/>
  <c r="I441" i="48" s="1"/>
  <c r="I450" i="48" s="1"/>
  <c r="I459" i="48" s="1"/>
  <c r="I468" i="48" s="1"/>
  <c r="I237" i="48"/>
  <c r="I351" i="48"/>
  <c r="I252" i="48"/>
  <c r="I368" i="48"/>
  <c r="I243" i="48"/>
  <c r="I270" i="48"/>
  <c r="I360" i="48"/>
  <c r="I247" i="48"/>
  <c r="I256" i="48" s="1"/>
  <c r="I265" i="48" s="1"/>
  <c r="I324" i="48"/>
  <c r="I333" i="48" s="1"/>
  <c r="I342" i="48" s="1"/>
  <c r="I315" i="48"/>
  <c r="I306" i="48"/>
  <c r="I20" i="48"/>
  <c r="I36" i="48" s="1"/>
  <c r="I18" i="48"/>
  <c r="I34" i="48" s="1"/>
  <c r="I19" i="48"/>
  <c r="I35" i="48" s="1"/>
  <c r="I157" i="48"/>
  <c r="I499" i="48"/>
  <c r="I511" i="48" s="1"/>
  <c r="I520" i="48" s="1"/>
  <c r="I529" i="48" s="1"/>
  <c r="I538" i="48" s="1"/>
  <c r="I547" i="48" s="1"/>
  <c r="I510" i="48"/>
  <c r="I519" i="48" s="1"/>
  <c r="I528" i="48" s="1"/>
  <c r="I537" i="48" s="1"/>
  <c r="I546" i="48" s="1"/>
  <c r="I21" i="48"/>
  <c r="I37" i="48" s="1"/>
  <c r="I41" i="48"/>
  <c r="I44" i="48" s="1"/>
  <c r="I15" i="48"/>
  <c r="I31" i="48" s="1"/>
  <c r="I25" i="48"/>
  <c r="I12" i="48"/>
  <c r="I563" i="48"/>
  <c r="I572" i="48" s="1"/>
  <c r="I581" i="48" s="1"/>
  <c r="I590" i="48" s="1"/>
  <c r="I599" i="48" s="1"/>
  <c r="I608" i="48" s="1"/>
  <c r="I617" i="48" s="1"/>
  <c r="I626" i="48" s="1"/>
  <c r="I635" i="48" s="1"/>
  <c r="I644" i="48" s="1"/>
  <c r="I653" i="48" s="1"/>
  <c r="I662" i="48" s="1"/>
  <c r="I671" i="48" s="1"/>
  <c r="I680" i="48" s="1"/>
  <c r="I689" i="48" s="1"/>
  <c r="I698" i="48" s="1"/>
  <c r="I707" i="48" s="1"/>
  <c r="I716" i="48" s="1"/>
  <c r="I725" i="48" s="1"/>
  <c r="I554" i="48"/>
  <c r="I80" i="48"/>
  <c r="I83" i="48" s="1"/>
  <c r="I70" i="48"/>
  <c r="I73" i="48" s="1"/>
  <c r="I76" i="48"/>
  <c r="I87" i="48"/>
  <c r="I90" i="48" s="1"/>
  <c r="I66" i="48"/>
  <c r="I95" i="48"/>
  <c r="I68" i="48"/>
  <c r="I71" i="48" s="1"/>
  <c r="I85" i="48"/>
  <c r="I88" i="48" s="1"/>
  <c r="I93" i="48"/>
  <c r="I78" i="48"/>
  <c r="I81" i="48" s="1"/>
  <c r="I64" i="48"/>
  <c r="I74" i="48"/>
  <c r="I140" i="48"/>
  <c r="I113" i="48" s="1"/>
  <c r="I141" i="48"/>
  <c r="I114" i="48" s="1"/>
  <c r="I139" i="48"/>
  <c r="I112" i="48" s="1"/>
  <c r="K108" i="48"/>
  <c r="L108" i="48" s="1"/>
  <c r="M108" i="48" s="1"/>
  <c r="I69" i="48"/>
  <c r="I72" i="48" s="1"/>
  <c r="I79" i="48"/>
  <c r="I82" i="48" s="1"/>
  <c r="I94" i="48"/>
  <c r="I65" i="48"/>
  <c r="I75" i="48"/>
  <c r="I86" i="48"/>
  <c r="I89" i="48" s="1"/>
  <c r="I151" i="48"/>
  <c r="I161" i="48"/>
  <c r="I171" i="48"/>
  <c r="I154" i="48"/>
  <c r="G157" i="48"/>
  <c r="G15" i="48"/>
  <c r="G31" i="48" s="1"/>
  <c r="K735" i="48"/>
  <c r="L735" i="48" s="1"/>
  <c r="M735" i="48" s="1"/>
  <c r="K106" i="48"/>
  <c r="L106" i="48" s="1"/>
  <c r="M106" i="48" s="1"/>
  <c r="J23" i="48"/>
  <c r="J39" i="48" s="1"/>
  <c r="J20" i="48"/>
  <c r="J36" i="48" s="1"/>
  <c r="J27" i="48"/>
  <c r="J17" i="48"/>
  <c r="J33" i="48" s="1"/>
  <c r="J43" i="48"/>
  <c r="J46" i="48" s="1"/>
  <c r="J14" i="48"/>
  <c r="J156" i="48"/>
  <c r="J173" i="48"/>
  <c r="J163" i="48"/>
  <c r="J153" i="48"/>
  <c r="J139" i="48"/>
  <c r="J112" i="48" s="1"/>
  <c r="J140" i="48"/>
  <c r="J113" i="48" s="1"/>
  <c r="J141" i="48"/>
  <c r="J114" i="48" s="1"/>
  <c r="G70" i="48"/>
  <c r="G95" i="48"/>
  <c r="G80" i="48"/>
  <c r="G76" i="48"/>
  <c r="K63" i="48"/>
  <c r="G87" i="48"/>
  <c r="G66" i="48"/>
  <c r="J19" i="48"/>
  <c r="J35" i="48" s="1"/>
  <c r="J42" i="48"/>
  <c r="J45" i="48" s="1"/>
  <c r="J16" i="48"/>
  <c r="J32" i="48" s="1"/>
  <c r="J13" i="48"/>
  <c r="J26" i="48"/>
  <c r="J22" i="48"/>
  <c r="J38" i="48" s="1"/>
  <c r="J162" i="48"/>
  <c r="J172" i="48"/>
  <c r="J152" i="48"/>
  <c r="J155" i="48"/>
  <c r="G158" i="48"/>
  <c r="G180" i="48"/>
  <c r="J129" i="21"/>
  <c r="G172" i="17"/>
  <c r="G194" i="48"/>
  <c r="K194" i="48" s="1"/>
  <c r="G172" i="48"/>
  <c r="J503" i="48"/>
  <c r="J515" i="48" s="1"/>
  <c r="J524" i="48" s="1"/>
  <c r="J533" i="48" s="1"/>
  <c r="J542" i="48" s="1"/>
  <c r="J551" i="48" s="1"/>
  <c r="J502" i="48"/>
  <c r="J514" i="48" s="1"/>
  <c r="J523" i="48" s="1"/>
  <c r="J532" i="48" s="1"/>
  <c r="J541" i="48" s="1"/>
  <c r="J550" i="48" s="1"/>
  <c r="J513" i="48"/>
  <c r="J522" i="48" s="1"/>
  <c r="J531" i="48" s="1"/>
  <c r="J540" i="48" s="1"/>
  <c r="J549" i="48" s="1"/>
  <c r="J307" i="48"/>
  <c r="J280" i="48"/>
  <c r="J289" i="48" s="1"/>
  <c r="J298" i="48"/>
  <c r="J253" i="48"/>
  <c r="J369" i="48"/>
  <c r="J325" i="48"/>
  <c r="J334" i="48" s="1"/>
  <c r="J343" i="48" s="1"/>
  <c r="J238" i="48"/>
  <c r="J262" i="48"/>
  <c r="J244" i="48"/>
  <c r="J361" i="48"/>
  <c r="J352" i="48"/>
  <c r="J316" i="48"/>
  <c r="J379" i="48"/>
  <c r="J388" i="48" s="1"/>
  <c r="J397" i="48" s="1"/>
  <c r="J406" i="48" s="1"/>
  <c r="J415" i="48" s="1"/>
  <c r="J424" i="48" s="1"/>
  <c r="J433" i="48" s="1"/>
  <c r="J442" i="48" s="1"/>
  <c r="J451" i="48" s="1"/>
  <c r="J460" i="48" s="1"/>
  <c r="J469" i="48" s="1"/>
  <c r="J271" i="48"/>
  <c r="J248" i="48"/>
  <c r="J257" i="48" s="1"/>
  <c r="J266" i="48" s="1"/>
  <c r="J161" i="48"/>
  <c r="J151" i="48"/>
  <c r="J171" i="48"/>
  <c r="J154" i="48"/>
  <c r="G171" i="48"/>
  <c r="J128" i="21"/>
  <c r="G193" i="48"/>
  <c r="K193" i="48" s="1"/>
  <c r="G171" i="17"/>
  <c r="J563" i="48"/>
  <c r="J572" i="48" s="1"/>
  <c r="J581" i="48" s="1"/>
  <c r="J590" i="48" s="1"/>
  <c r="J599" i="48" s="1"/>
  <c r="J608" i="48" s="1"/>
  <c r="J617" i="48" s="1"/>
  <c r="J626" i="48" s="1"/>
  <c r="J635" i="48" s="1"/>
  <c r="J644" i="48" s="1"/>
  <c r="J653" i="48" s="1"/>
  <c r="J662" i="48" s="1"/>
  <c r="J671" i="48" s="1"/>
  <c r="J680" i="48" s="1"/>
  <c r="J689" i="48" s="1"/>
  <c r="J698" i="48" s="1"/>
  <c r="J707" i="48" s="1"/>
  <c r="J716" i="48" s="1"/>
  <c r="J725" i="48" s="1"/>
  <c r="J554" i="48"/>
  <c r="J260" i="48"/>
  <c r="J367" i="48"/>
  <c r="J314" i="48"/>
  <c r="J377" i="48"/>
  <c r="J386" i="48" s="1"/>
  <c r="J395" i="48" s="1"/>
  <c r="J404" i="48" s="1"/>
  <c r="J413" i="48" s="1"/>
  <c r="J422" i="48" s="1"/>
  <c r="J431" i="48" s="1"/>
  <c r="J440" i="48" s="1"/>
  <c r="J449" i="48" s="1"/>
  <c r="J458" i="48" s="1"/>
  <c r="J467" i="48" s="1"/>
  <c r="J359" i="48"/>
  <c r="J350" i="48"/>
  <c r="J242" i="48"/>
  <c r="J269" i="48"/>
  <c r="J323" i="48"/>
  <c r="J332" i="48" s="1"/>
  <c r="J341" i="48" s="1"/>
  <c r="J305" i="48"/>
  <c r="J246" i="48"/>
  <c r="J255" i="48" s="1"/>
  <c r="J264" i="48" s="1"/>
  <c r="J278" i="48"/>
  <c r="J287" i="48" s="1"/>
  <c r="J296" i="48"/>
  <c r="J251" i="48"/>
  <c r="J236" i="48"/>
  <c r="L732" i="48"/>
  <c r="M732" i="48" s="1"/>
  <c r="J499" i="48"/>
  <c r="J511" i="48" s="1"/>
  <c r="J520" i="48" s="1"/>
  <c r="J529" i="48" s="1"/>
  <c r="J538" i="48" s="1"/>
  <c r="J547" i="48" s="1"/>
  <c r="J510" i="48"/>
  <c r="J519" i="48" s="1"/>
  <c r="J528" i="48" s="1"/>
  <c r="J537" i="48" s="1"/>
  <c r="J546" i="48" s="1"/>
  <c r="L217" i="48"/>
  <c r="M217" i="48" s="1"/>
  <c r="J360" i="48"/>
  <c r="J252" i="48"/>
  <c r="J324" i="48"/>
  <c r="J333" i="48" s="1"/>
  <c r="J342" i="48" s="1"/>
  <c r="J237" i="48"/>
  <c r="J270" i="48"/>
  <c r="J351" i="48"/>
  <c r="J261" i="48"/>
  <c r="J243" i="48"/>
  <c r="J306" i="48"/>
  <c r="J297" i="48"/>
  <c r="J378" i="48"/>
  <c r="J387" i="48" s="1"/>
  <c r="J396" i="48" s="1"/>
  <c r="J405" i="48" s="1"/>
  <c r="J414" i="48" s="1"/>
  <c r="J423" i="48" s="1"/>
  <c r="J432" i="48" s="1"/>
  <c r="J441" i="48" s="1"/>
  <c r="J450" i="48" s="1"/>
  <c r="J459" i="48" s="1"/>
  <c r="J468" i="48" s="1"/>
  <c r="J247" i="48"/>
  <c r="J256" i="48" s="1"/>
  <c r="J265" i="48" s="1"/>
  <c r="J279" i="48"/>
  <c r="J288" i="48" s="1"/>
  <c r="J368" i="48"/>
  <c r="J315" i="48"/>
  <c r="K107" i="48"/>
  <c r="L107" i="48" s="1"/>
  <c r="M107" i="48" s="1"/>
  <c r="G209" i="48"/>
  <c r="K209" i="48" s="1"/>
  <c r="K208" i="48"/>
  <c r="G213" i="48"/>
  <c r="G210" i="48"/>
  <c r="G211" i="48"/>
  <c r="G69" i="48"/>
  <c r="G65" i="48"/>
  <c r="G86" i="48"/>
  <c r="G94" i="48"/>
  <c r="G79" i="48"/>
  <c r="G75" i="48"/>
  <c r="K62" i="48"/>
  <c r="G85" i="48"/>
  <c r="G68" i="48"/>
  <c r="G93" i="48"/>
  <c r="G64" i="48"/>
  <c r="G74" i="48"/>
  <c r="G78" i="48"/>
  <c r="K61" i="48"/>
  <c r="J86" i="48"/>
  <c r="J89" i="48" s="1"/>
  <c r="J94" i="48"/>
  <c r="J65" i="48"/>
  <c r="J75" i="48"/>
  <c r="J79" i="48"/>
  <c r="J82" i="48" s="1"/>
  <c r="J69" i="48"/>
  <c r="J72" i="48" s="1"/>
  <c r="N736" i="48"/>
  <c r="L736" i="48"/>
  <c r="M736" i="48" s="1"/>
  <c r="J68" i="48"/>
  <c r="J71" i="48" s="1"/>
  <c r="J64" i="48"/>
  <c r="J74" i="48"/>
  <c r="J93" i="48"/>
  <c r="J78" i="48"/>
  <c r="J81" i="48" s="1"/>
  <c r="J85" i="48"/>
  <c r="J88" i="48" s="1"/>
  <c r="G501" i="48"/>
  <c r="G498" i="48"/>
  <c r="G509" i="48"/>
  <c r="K497" i="48"/>
  <c r="G114" i="48"/>
  <c r="G55" i="48"/>
  <c r="K55" i="48" s="1"/>
  <c r="G26" i="48"/>
  <c r="G27" i="48"/>
  <c r="G56" i="48"/>
  <c r="K56" i="48" s="1"/>
  <c r="G48" i="48"/>
  <c r="G28" i="48"/>
  <c r="J70" i="48"/>
  <c r="J73" i="48" s="1"/>
  <c r="J66" i="48"/>
  <c r="J80" i="48"/>
  <c r="J83" i="48" s="1"/>
  <c r="J87" i="48"/>
  <c r="J90" i="48" s="1"/>
  <c r="J76" i="48"/>
  <c r="J95" i="48"/>
  <c r="G113" i="48"/>
  <c r="L128" i="21"/>
  <c r="G205" i="48"/>
  <c r="K205" i="48" s="1"/>
  <c r="G112" i="48"/>
  <c r="G18" i="48"/>
  <c r="O57" i="48"/>
  <c r="P57" i="48" s="1"/>
  <c r="K221" i="48"/>
  <c r="G222" i="48"/>
  <c r="G225" i="48"/>
  <c r="G223" i="48"/>
  <c r="K223" i="48" s="1"/>
  <c r="G195" i="48"/>
  <c r="K195" i="48" s="1"/>
  <c r="L195" i="48" s="1"/>
  <c r="M195" i="48" s="1"/>
  <c r="J130" i="21"/>
  <c r="G173" i="17"/>
  <c r="G173" i="48"/>
  <c r="G9" i="48"/>
  <c r="G492" i="48"/>
  <c r="K493" i="48"/>
  <c r="L493" i="48" s="1"/>
  <c r="M493" i="48" s="1"/>
  <c r="J18" i="48"/>
  <c r="J34" i="48" s="1"/>
  <c r="J25" i="48"/>
  <c r="J12" i="48"/>
  <c r="J21" i="48"/>
  <c r="J37" i="48" s="1"/>
  <c r="J15" i="48"/>
  <c r="J31" i="48" s="1"/>
  <c r="J41" i="48"/>
  <c r="J44" i="48" s="1"/>
  <c r="J180" i="48"/>
  <c r="J158" i="48"/>
  <c r="H545" i="17"/>
  <c r="J545" i="17"/>
  <c r="Q17" i="17"/>
  <c r="Q31" i="17"/>
  <c r="Q32" i="17"/>
  <c r="Q20" i="17"/>
  <c r="Q36" i="17" s="1"/>
  <c r="J16" i="40"/>
  <c r="Q19" i="17"/>
  <c r="Q35" i="17" s="1"/>
  <c r="J14" i="40"/>
  <c r="Q18" i="17"/>
  <c r="Q34" i="17" s="1"/>
  <c r="J12" i="40"/>
  <c r="J10" i="40"/>
  <c r="Q56" i="48" s="1"/>
  <c r="J8" i="40"/>
  <c r="Q55" i="48" s="1"/>
  <c r="J6" i="40"/>
  <c r="Q54" i="48" s="1"/>
  <c r="J28" i="40"/>
  <c r="J26" i="40"/>
  <c r="J24" i="40"/>
  <c r="J20" i="40"/>
  <c r="Q42" i="48" s="1"/>
  <c r="Q45" i="48" s="1"/>
  <c r="J22" i="40"/>
  <c r="J18" i="40"/>
  <c r="Q33" i="17"/>
  <c r="Q15" i="17"/>
  <c r="Q16" i="17"/>
  <c r="Q123" i="17"/>
  <c r="Q71" i="17"/>
  <c r="Q100" i="17"/>
  <c r="Q122" i="17"/>
  <c r="Q72" i="17"/>
  <c r="Q101" i="17"/>
  <c r="Q124" i="17"/>
  <c r="Q119" i="17"/>
  <c r="Q69" i="17"/>
  <c r="Q70" i="17"/>
  <c r="Q121" i="17"/>
  <c r="Q68" i="17"/>
  <c r="Q105" i="17"/>
  <c r="J271" i="40"/>
  <c r="J269" i="40"/>
  <c r="J267" i="40"/>
  <c r="Q103" i="17"/>
  <c r="Q104" i="17"/>
  <c r="Q73" i="17"/>
  <c r="Q102" i="17"/>
  <c r="J158" i="17"/>
  <c r="J180" i="17"/>
  <c r="J29" i="21"/>
  <c r="G27" i="17"/>
  <c r="J28" i="21"/>
  <c r="G26" i="17"/>
  <c r="G28" i="17"/>
  <c r="G48" i="17"/>
  <c r="G51" i="17" s="1"/>
  <c r="G9" i="17"/>
  <c r="Q120" i="17"/>
  <c r="G93" i="17"/>
  <c r="G68" i="17"/>
  <c r="I93" i="17"/>
  <c r="I68" i="17"/>
  <c r="I71" i="17" s="1"/>
  <c r="G94" i="17"/>
  <c r="G69" i="17"/>
  <c r="G95" i="17"/>
  <c r="G70" i="17"/>
  <c r="J93" i="17"/>
  <c r="J68" i="17"/>
  <c r="J71" i="17" s="1"/>
  <c r="I42" i="17"/>
  <c r="I45" i="17" s="1"/>
  <c r="I26" i="17"/>
  <c r="J43" i="17"/>
  <c r="J46" i="17" s="1"/>
  <c r="J27" i="17"/>
  <c r="J42" i="17"/>
  <c r="J45" i="17" s="1"/>
  <c r="J26" i="17"/>
  <c r="J41" i="17"/>
  <c r="J44" i="17" s="1"/>
  <c r="J25" i="17"/>
  <c r="J95" i="40"/>
  <c r="J261" i="40"/>
  <c r="Q193" i="48" s="1"/>
  <c r="J320" i="40"/>
  <c r="Q237" i="17"/>
  <c r="Q251" i="17"/>
  <c r="Q255" i="17" s="1"/>
  <c r="Q388" i="17"/>
  <c r="Q392" i="17" s="1"/>
  <c r="Q653" i="17"/>
  <c r="Q657" i="17" s="1"/>
  <c r="Q583" i="17"/>
  <c r="Q587" i="17" s="1"/>
  <c r="Q654" i="17"/>
  <c r="Q658" i="17" s="1"/>
  <c r="Q252" i="17"/>
  <c r="Q256" i="17" s="1"/>
  <c r="Q440" i="17"/>
  <c r="Q444" i="17" s="1"/>
  <c r="Q238" i="17"/>
  <c r="Q671" i="17"/>
  <c r="Q675" i="17" s="1"/>
  <c r="Q655" i="17"/>
  <c r="Q659" i="17" s="1"/>
  <c r="Q681" i="17"/>
  <c r="Q685" i="17" s="1"/>
  <c r="Q271" i="17"/>
  <c r="Q275" i="17" s="1"/>
  <c r="Q315" i="17"/>
  <c r="Q319" i="17" s="1"/>
  <c r="Q341" i="17"/>
  <c r="Q345" i="17" s="1"/>
  <c r="Q253" i="17"/>
  <c r="Q257" i="17" s="1"/>
  <c r="Q572" i="17"/>
  <c r="Q576" i="17" s="1"/>
  <c r="Q574" i="17"/>
  <c r="Q578" i="17" s="1"/>
  <c r="Q573" i="17"/>
  <c r="Q577" i="17" s="1"/>
  <c r="Q423" i="17"/>
  <c r="Q427" i="17" s="1"/>
  <c r="Q449" i="17"/>
  <c r="Q453" i="17" s="1"/>
  <c r="Q298" i="17"/>
  <c r="Q302" i="17" s="1"/>
  <c r="Q680" i="17"/>
  <c r="Q684" i="17" s="1"/>
  <c r="Q291" i="17"/>
  <c r="Q287" i="17" s="1"/>
  <c r="Q673" i="17"/>
  <c r="Q677" i="17" s="1"/>
  <c r="Q546" i="17"/>
  <c r="Q550" i="17" s="1"/>
  <c r="Q324" i="17"/>
  <c r="Q328" i="17" s="1"/>
  <c r="Q236" i="17"/>
  <c r="Q406" i="17"/>
  <c r="Q410" i="17" s="1"/>
  <c r="Q617" i="17"/>
  <c r="Q621" i="17" s="1"/>
  <c r="Q305" i="17"/>
  <c r="Q309" i="17" s="1"/>
  <c r="Q619" i="17"/>
  <c r="Q623" i="17" s="1"/>
  <c r="Q627" i="17"/>
  <c r="Q631" i="17" s="1"/>
  <c r="Q270" i="17"/>
  <c r="Q274" i="17" s="1"/>
  <c r="Q432" i="17"/>
  <c r="Q436" i="17" s="1"/>
  <c r="Q336" i="17"/>
  <c r="Q332" i="17" s="1"/>
  <c r="Q307" i="17"/>
  <c r="Q311" i="17" s="1"/>
  <c r="Q215" i="17"/>
  <c r="Q662" i="17"/>
  <c r="Q666" i="17" s="1"/>
  <c r="Q296" i="17"/>
  <c r="Q300" i="17" s="1"/>
  <c r="Q565" i="17"/>
  <c r="Q569" i="17" s="1"/>
  <c r="Q672" i="17"/>
  <c r="Q676" i="17" s="1"/>
  <c r="Q476" i="17"/>
  <c r="Q480" i="17" s="1"/>
  <c r="Q227" i="17"/>
  <c r="Q337" i="17"/>
  <c r="Q333" i="17" s="1"/>
  <c r="Q350" i="17"/>
  <c r="Q354" i="17" s="1"/>
  <c r="Q415" i="17"/>
  <c r="Q419" i="17" s="1"/>
  <c r="Q563" i="17"/>
  <c r="Q567" i="17" s="1"/>
  <c r="Q682" i="17"/>
  <c r="Q686" i="17" s="1"/>
  <c r="Q618" i="17"/>
  <c r="Q622" i="17" s="1"/>
  <c r="Q214" i="17"/>
  <c r="Q223" i="17"/>
  <c r="Q441" i="17"/>
  <c r="Q445" i="17" s="1"/>
  <c r="Q458" i="17"/>
  <c r="Q462" i="17" s="1"/>
  <c r="Q316" i="17"/>
  <c r="Q320" i="17" s="1"/>
  <c r="Q509" i="17"/>
  <c r="Q513" i="17" s="1"/>
  <c r="Q601" i="17"/>
  <c r="Q605" i="17" s="1"/>
  <c r="Q564" i="17"/>
  <c r="Q568" i="17" s="1"/>
  <c r="Q342" i="17"/>
  <c r="Q346" i="17" s="1"/>
  <c r="Q260" i="17"/>
  <c r="Q264" i="17" s="1"/>
  <c r="Q424" i="17"/>
  <c r="Q428" i="17" s="1"/>
  <c r="Q581" i="17"/>
  <c r="Q585" i="17" s="1"/>
  <c r="Q628" i="17"/>
  <c r="Q632" i="17" s="1"/>
  <c r="Q708" i="17"/>
  <c r="Q712" i="17" s="1"/>
  <c r="Q450" i="17"/>
  <c r="Q454" i="17" s="1"/>
  <c r="Q359" i="17"/>
  <c r="Q363" i="17" s="1"/>
  <c r="Q325" i="17"/>
  <c r="Q329" i="17" s="1"/>
  <c r="Q689" i="17"/>
  <c r="Q693" i="17" s="1"/>
  <c r="Q511" i="17"/>
  <c r="Q515" i="17" s="1"/>
  <c r="Q510" i="17"/>
  <c r="Q514" i="17" s="1"/>
  <c r="Q351" i="17"/>
  <c r="Q355" i="17" s="1"/>
  <c r="Q467" i="17"/>
  <c r="Q471" i="17" s="1"/>
  <c r="Q433" i="17"/>
  <c r="Q437" i="17" s="1"/>
  <c r="Q608" i="17"/>
  <c r="Q612" i="17" s="1"/>
  <c r="Q536" i="17"/>
  <c r="Q540" i="17" s="1"/>
  <c r="Q718" i="17"/>
  <c r="Q722" i="17" s="1"/>
  <c r="Q717" i="17"/>
  <c r="Q721" i="17" s="1"/>
  <c r="Q65" i="17"/>
  <c r="Q225" i="17"/>
  <c r="Q459" i="17"/>
  <c r="Q463" i="17" s="1"/>
  <c r="Q367" i="17"/>
  <c r="Q372" i="17" s="1"/>
  <c r="Q338" i="17"/>
  <c r="Q334" i="17" s="1"/>
  <c r="Q554" i="17"/>
  <c r="Q558" i="17" s="1"/>
  <c r="Q664" i="17"/>
  <c r="Q668" i="17" s="1"/>
  <c r="Q663" i="17"/>
  <c r="Q667" i="17" s="1"/>
  <c r="Q64" i="17"/>
  <c r="Q261" i="17"/>
  <c r="Q265" i="17" s="1"/>
  <c r="Q377" i="17"/>
  <c r="Q381" i="17" s="1"/>
  <c r="Q442" i="17"/>
  <c r="Q446" i="17" s="1"/>
  <c r="Q590" i="17"/>
  <c r="Q594" i="17" s="1"/>
  <c r="Q610" i="17"/>
  <c r="Q614" i="17" s="1"/>
  <c r="Q609" i="17"/>
  <c r="Q613" i="17" s="1"/>
  <c r="Q698" i="17"/>
  <c r="Q702" i="17" s="1"/>
  <c r="Q556" i="17"/>
  <c r="Q560" i="17" s="1"/>
  <c r="Q555" i="17"/>
  <c r="Q559" i="17" s="1"/>
  <c r="Q478" i="17"/>
  <c r="Q482" i="17" s="1"/>
  <c r="Q210" i="17"/>
  <c r="Q468" i="17"/>
  <c r="Q472" i="17" s="1"/>
  <c r="Q451" i="17"/>
  <c r="Q455" i="17" s="1"/>
  <c r="Q599" i="17"/>
  <c r="Q603" i="17" s="1"/>
  <c r="Q709" i="17"/>
  <c r="Q713" i="17" s="1"/>
  <c r="Q519" i="17"/>
  <c r="Q523" i="17" s="1"/>
  <c r="Q66" i="17"/>
  <c r="Q727" i="17"/>
  <c r="Q731" i="17" s="1"/>
  <c r="Q700" i="17"/>
  <c r="Q704" i="17" s="1"/>
  <c r="Q234" i="17"/>
  <c r="Q707" i="17"/>
  <c r="Q711" i="17" s="1"/>
  <c r="Q699" i="17"/>
  <c r="Q703" i="17" s="1"/>
  <c r="Q269" i="17"/>
  <c r="Q273" i="17" s="1"/>
  <c r="Q95" i="17"/>
  <c r="Q368" i="17"/>
  <c r="Q373" i="17" s="1"/>
  <c r="Q386" i="17"/>
  <c r="Q390" i="17" s="1"/>
  <c r="Q352" i="17"/>
  <c r="Q356" i="17" s="1"/>
  <c r="Q626" i="17"/>
  <c r="Q630" i="17" s="1"/>
  <c r="Q592" i="17"/>
  <c r="Q596" i="17" s="1"/>
  <c r="Q645" i="17"/>
  <c r="Q649" i="17" s="1"/>
  <c r="Q343" i="17"/>
  <c r="Q347" i="17" s="1"/>
  <c r="Q94" i="17"/>
  <c r="Q378" i="17"/>
  <c r="Q382" i="17" s="1"/>
  <c r="Q395" i="17"/>
  <c r="Q399" i="17" s="1"/>
  <c r="Q460" i="17"/>
  <c r="Q464" i="17" s="1"/>
  <c r="Q635" i="17"/>
  <c r="Q639" i="17" s="1"/>
  <c r="Q725" i="17"/>
  <c r="Q729" i="17" s="1"/>
  <c r="Q591" i="17"/>
  <c r="Q595" i="17" s="1"/>
  <c r="Q213" i="17"/>
  <c r="Q486" i="17"/>
  <c r="Q490" i="17" s="1"/>
  <c r="Q404" i="17"/>
  <c r="Q408" i="17" s="1"/>
  <c r="Q262" i="17"/>
  <c r="Q266" i="17" s="1"/>
  <c r="Q538" i="17"/>
  <c r="Q542" i="17" s="1"/>
  <c r="Q279" i="17"/>
  <c r="Q283" i="17" s="1"/>
  <c r="Q242" i="17"/>
  <c r="Q246" i="17" s="1"/>
  <c r="Q361" i="17"/>
  <c r="Q365" i="17" s="1"/>
  <c r="Q485" i="17"/>
  <c r="Q489" i="17" s="1"/>
  <c r="Q278" i="17"/>
  <c r="Q282" i="17" s="1"/>
  <c r="Q387" i="17"/>
  <c r="Q391" i="17" s="1"/>
  <c r="Q413" i="17"/>
  <c r="Q417" i="17" s="1"/>
  <c r="Q469" i="17"/>
  <c r="Q473" i="17" s="1"/>
  <c r="Q209" i="17"/>
  <c r="Q396" i="17"/>
  <c r="Q400" i="17" s="1"/>
  <c r="Q314" i="17"/>
  <c r="Q318" i="17" s="1"/>
  <c r="Q244" i="17"/>
  <c r="Q248" i="17" s="1"/>
  <c r="Q292" i="17"/>
  <c r="Q288" i="17" s="1"/>
  <c r="Q726" i="17"/>
  <c r="Q730" i="17" s="1"/>
  <c r="Q233" i="17"/>
  <c r="Q369" i="17"/>
  <c r="Q374" i="17" s="1"/>
  <c r="Q222" i="17"/>
  <c r="Q405" i="17"/>
  <c r="Q409" i="17" s="1"/>
  <c r="Q323" i="17"/>
  <c r="Q327" i="17" s="1"/>
  <c r="Q379" i="17"/>
  <c r="Q383" i="17" s="1"/>
  <c r="Q716" i="17"/>
  <c r="Q720" i="17" s="1"/>
  <c r="Q297" i="17"/>
  <c r="Q301" i="17" s="1"/>
  <c r="Q520" i="17"/>
  <c r="Q524" i="17" s="1"/>
  <c r="Q600" i="17"/>
  <c r="Q604" i="17" s="1"/>
  <c r="Q537" i="17"/>
  <c r="Q541" i="17" s="1"/>
  <c r="Q93" i="17"/>
  <c r="Q226" i="17"/>
  <c r="Q243" i="17"/>
  <c r="Q247" i="17" s="1"/>
  <c r="Q422" i="17"/>
  <c r="Q426" i="17" s="1"/>
  <c r="Q547" i="17"/>
  <c r="Q551" i="17" s="1"/>
  <c r="Q477" i="17"/>
  <c r="Q481" i="17" s="1"/>
  <c r="Q116" i="17"/>
  <c r="Q431" i="17"/>
  <c r="Q435" i="17" s="1"/>
  <c r="Q487" i="17"/>
  <c r="Q491" i="17" s="1"/>
  <c r="Q518" i="17"/>
  <c r="Q522" i="17" s="1"/>
  <c r="Q646" i="17"/>
  <c r="Q650" i="17" s="1"/>
  <c r="Q528" i="17"/>
  <c r="Q532" i="17" s="1"/>
  <c r="Q306" i="17"/>
  <c r="Q310" i="17" s="1"/>
  <c r="Q96" i="17"/>
  <c r="Q280" i="17"/>
  <c r="Q284" i="17" s="1"/>
  <c r="Q527" i="17"/>
  <c r="Q531" i="17" s="1"/>
  <c r="Q529" i="17"/>
  <c r="Q533" i="17" s="1"/>
  <c r="Q690" i="17"/>
  <c r="Q694" i="17" s="1"/>
  <c r="Q117" i="17"/>
  <c r="Q98" i="17"/>
  <c r="Q293" i="17"/>
  <c r="Q289" i="17" s="1"/>
  <c r="Q644" i="17"/>
  <c r="Q648" i="17" s="1"/>
  <c r="Q691" i="17"/>
  <c r="Q695" i="17" s="1"/>
  <c r="Q636" i="17"/>
  <c r="Q640" i="17" s="1"/>
  <c r="Q360" i="17"/>
  <c r="Q364" i="17" s="1"/>
  <c r="Q414" i="17"/>
  <c r="Q418" i="17" s="1"/>
  <c r="Q97" i="17"/>
  <c r="Q397" i="17"/>
  <c r="Q401" i="17" s="1"/>
  <c r="Q545" i="17"/>
  <c r="Q549" i="17" s="1"/>
  <c r="Q637" i="17"/>
  <c r="Q641" i="17" s="1"/>
  <c r="Q582" i="17"/>
  <c r="Q586" i="17" s="1"/>
  <c r="Q498" i="17"/>
  <c r="Q502" i="17" s="1"/>
  <c r="Q497" i="17"/>
  <c r="Q501" i="17" s="1"/>
  <c r="Q499" i="17"/>
  <c r="Q503" i="17" s="1"/>
  <c r="Q232" i="17"/>
  <c r="Q135" i="17"/>
  <c r="Q134" i="17"/>
  <c r="Q115" i="17"/>
  <c r="J736" i="17"/>
  <c r="J737" i="17"/>
  <c r="J150" i="17"/>
  <c r="J735" i="17"/>
  <c r="J148" i="17"/>
  <c r="J149" i="17"/>
  <c r="K8" i="40"/>
  <c r="K10" i="40"/>
  <c r="Q228" i="17"/>
  <c r="Q221" i="17" s="1"/>
  <c r="Q145" i="17"/>
  <c r="K632" i="40"/>
  <c r="I157" i="17"/>
  <c r="I74" i="17"/>
  <c r="I64" i="17"/>
  <c r="I85" i="17"/>
  <c r="I88" i="17" s="1"/>
  <c r="I78" i="17"/>
  <c r="I81" i="17" s="1"/>
  <c r="I18" i="17"/>
  <c r="I34" i="17" s="1"/>
  <c r="I20" i="17"/>
  <c r="I36" i="17" s="1"/>
  <c r="I19" i="17"/>
  <c r="I35" i="17" s="1"/>
  <c r="I139" i="17"/>
  <c r="I112" i="17" s="1"/>
  <c r="G737" i="17"/>
  <c r="G735" i="17"/>
  <c r="G736" i="17"/>
  <c r="J39" i="21"/>
  <c r="G56" i="17"/>
  <c r="L33" i="21"/>
  <c r="L39" i="21"/>
  <c r="L24" i="21"/>
  <c r="L38" i="21"/>
  <c r="G194" i="17"/>
  <c r="G157" i="17"/>
  <c r="G55" i="17"/>
  <c r="J38" i="21"/>
  <c r="G15" i="17"/>
  <c r="G31" i="17" s="1"/>
  <c r="G18" i="17"/>
  <c r="G34" i="17" s="1"/>
  <c r="G205" i="17"/>
  <c r="H113" i="17"/>
  <c r="H11" i="17"/>
  <c r="H9" i="17"/>
  <c r="H10" i="17"/>
  <c r="I497" i="17"/>
  <c r="I509" i="17" s="1"/>
  <c r="I518" i="17" s="1"/>
  <c r="I527" i="17" s="1"/>
  <c r="I536" i="17" s="1"/>
  <c r="H501" i="17"/>
  <c r="H513" i="17" s="1"/>
  <c r="H522" i="17" s="1"/>
  <c r="H531" i="17" s="1"/>
  <c r="H540" i="17" s="1"/>
  <c r="H498" i="17"/>
  <c r="G497" i="17"/>
  <c r="G509" i="17" s="1"/>
  <c r="G518" i="17" s="1"/>
  <c r="G527" i="17" s="1"/>
  <c r="G536" i="17" s="1"/>
  <c r="J498" i="17"/>
  <c r="J501" i="17"/>
  <c r="J513" i="17" s="1"/>
  <c r="J522" i="17" s="1"/>
  <c r="J531" i="17" s="1"/>
  <c r="J540" i="17" s="1"/>
  <c r="I234" i="17"/>
  <c r="I232" i="17"/>
  <c r="I233" i="17"/>
  <c r="G232" i="17"/>
  <c r="G234" i="17"/>
  <c r="G233" i="17"/>
  <c r="I223" i="17"/>
  <c r="I225" i="17"/>
  <c r="I227" i="17" s="1"/>
  <c r="I222" i="17"/>
  <c r="I226" i="17" s="1"/>
  <c r="J223" i="17"/>
  <c r="J225" i="17"/>
  <c r="J227" i="17" s="1"/>
  <c r="J222" i="17"/>
  <c r="J226" i="17" s="1"/>
  <c r="G78" i="17"/>
  <c r="G81" i="17" s="1"/>
  <c r="G85" i="17"/>
  <c r="G88" i="17" s="1"/>
  <c r="G79" i="17"/>
  <c r="G82" i="17" s="1"/>
  <c r="G86" i="17"/>
  <c r="G89" i="17" s="1"/>
  <c r="G80" i="17"/>
  <c r="G83" i="17" s="1"/>
  <c r="G87" i="17"/>
  <c r="G90" i="17" s="1"/>
  <c r="J78" i="17"/>
  <c r="J81" i="17" s="1"/>
  <c r="J85" i="17"/>
  <c r="J88" i="17" s="1"/>
  <c r="G74" i="17"/>
  <c r="G64" i="17"/>
  <c r="G75" i="17"/>
  <c r="G65" i="17"/>
  <c r="J64" i="17"/>
  <c r="J74" i="17"/>
  <c r="G66" i="17"/>
  <c r="G76" i="17"/>
  <c r="I16" i="17"/>
  <c r="I32" i="17" s="1"/>
  <c r="I22" i="17"/>
  <c r="I38" i="17" s="1"/>
  <c r="J16" i="17"/>
  <c r="J32" i="17" s="1"/>
  <c r="J19" i="17"/>
  <c r="J35" i="17" s="1"/>
  <c r="J22" i="17"/>
  <c r="J38" i="17" s="1"/>
  <c r="J23" i="17"/>
  <c r="J39" i="17" s="1"/>
  <c r="J17" i="17"/>
  <c r="J33" i="17" s="1"/>
  <c r="J20" i="17"/>
  <c r="J36" i="17" s="1"/>
  <c r="J21" i="17"/>
  <c r="J37" i="17" s="1"/>
  <c r="J15" i="17"/>
  <c r="J31" i="17" s="1"/>
  <c r="J18" i="17"/>
  <c r="J34" i="17" s="1"/>
  <c r="J13" i="17"/>
  <c r="I13" i="17"/>
  <c r="J14" i="17"/>
  <c r="J12" i="17"/>
  <c r="I149" i="17"/>
  <c r="I12" i="26"/>
  <c r="I208" i="17"/>
  <c r="I148" i="17"/>
  <c r="I150" i="17"/>
  <c r="H736" i="17"/>
  <c r="I62" i="17"/>
  <c r="K634" i="40"/>
  <c r="K633" i="40"/>
  <c r="I63" i="17"/>
  <c r="J25" i="21"/>
  <c r="J36" i="21"/>
  <c r="J33" i="21"/>
  <c r="L25" i="21"/>
  <c r="I40" i="26"/>
  <c r="I141" i="17"/>
  <c r="I140" i="17"/>
  <c r="G114" i="17"/>
  <c r="G193" i="17"/>
  <c r="G112" i="17"/>
  <c r="I9" i="17"/>
  <c r="I11" i="17"/>
  <c r="J35" i="21"/>
  <c r="G208" i="17"/>
  <c r="J32" i="21"/>
  <c r="J24" i="21"/>
  <c r="G195" i="17"/>
  <c r="J139" i="17"/>
  <c r="J141" i="17"/>
  <c r="J140" i="17"/>
  <c r="J208" i="17"/>
  <c r="J62" i="17"/>
  <c r="J492" i="17"/>
  <c r="J63" i="17"/>
  <c r="H735" i="17"/>
  <c r="H112" i="17"/>
  <c r="H119" i="17" s="1"/>
  <c r="H737" i="17"/>
  <c r="I736" i="17"/>
  <c r="I737" i="17"/>
  <c r="L32" i="21"/>
  <c r="G113" i="17"/>
  <c r="G120" i="17" s="1"/>
  <c r="I735" i="17"/>
  <c r="L36" i="21"/>
  <c r="L35" i="21"/>
  <c r="J40" i="26"/>
  <c r="W6" i="39" s="1"/>
  <c r="J12" i="26"/>
  <c r="X5" i="39" s="1"/>
  <c r="J39" i="26"/>
  <c r="V6" i="39" s="1"/>
  <c r="I21" i="26"/>
  <c r="E13" i="26"/>
  <c r="H13" i="26"/>
  <c r="I52" i="26"/>
  <c r="D14" i="26"/>
  <c r="C15" i="26"/>
  <c r="G221" i="17"/>
  <c r="H114" i="17"/>
  <c r="H121" i="17" s="1"/>
  <c r="H149" i="17"/>
  <c r="H172" i="17" s="1"/>
  <c r="H185" i="17" s="1"/>
  <c r="H150" i="17"/>
  <c r="H173" i="17" s="1"/>
  <c r="H186" i="17" s="1"/>
  <c r="H148" i="17"/>
  <c r="H171" i="17" s="1"/>
  <c r="H184" i="17" s="1"/>
  <c r="Q108" i="17"/>
  <c r="Q63" i="17" s="1"/>
  <c r="J633" i="40"/>
  <c r="J634" i="40"/>
  <c r="J632" i="40"/>
  <c r="Q732" i="17"/>
  <c r="Q201" i="17"/>
  <c r="H63" i="17"/>
  <c r="Q106" i="17"/>
  <c r="Q61" i="17" s="1"/>
  <c r="H208" i="17"/>
  <c r="H62" i="17"/>
  <c r="Q141" i="17"/>
  <c r="Q217" i="17"/>
  <c r="H61" i="17"/>
  <c r="Q139" i="17"/>
  <c r="H492" i="17"/>
  <c r="Q140" i="17"/>
  <c r="Q493" i="17"/>
  <c r="Q492" i="17" s="1"/>
  <c r="Q504" i="17"/>
  <c r="Q505" i="17"/>
  <c r="D42" i="26"/>
  <c r="C43" i="26"/>
  <c r="H221" i="17"/>
  <c r="Q107" i="17"/>
  <c r="Q62" i="17" s="1"/>
  <c r="E41" i="26"/>
  <c r="H41" i="26"/>
  <c r="D54" i="26"/>
  <c r="C55" i="26"/>
  <c r="E22" i="26"/>
  <c r="H22" i="26"/>
  <c r="D23" i="26"/>
  <c r="C24" i="26"/>
  <c r="E53" i="26"/>
  <c r="H53" i="26"/>
  <c r="Q25" i="48" l="1"/>
  <c r="Q28" i="48" s="1"/>
  <c r="Q48" i="48"/>
  <c r="Q51" i="48" s="1"/>
  <c r="Q49" i="48"/>
  <c r="Q52" i="48" s="1"/>
  <c r="Q171" i="48"/>
  <c r="Q50" i="48"/>
  <c r="Q53" i="48" s="1"/>
  <c r="Q205" i="48"/>
  <c r="Q148" i="48" s="1"/>
  <c r="Q157" i="48"/>
  <c r="Q158" i="48" s="1"/>
  <c r="Q159" i="48" s="1"/>
  <c r="Q181" i="48"/>
  <c r="Q182" i="48"/>
  <c r="Q180" i="48"/>
  <c r="Q172" i="48"/>
  <c r="Q9" i="48"/>
  <c r="Q12" i="48" s="1"/>
  <c r="Q173" i="48"/>
  <c r="Q10" i="48"/>
  <c r="Q13" i="48" s="1"/>
  <c r="Q184" i="48"/>
  <c r="Q177" i="48"/>
  <c r="Q174" i="48"/>
  <c r="Q57" i="48"/>
  <c r="Q37" i="48"/>
  <c r="Q22" i="48"/>
  <c r="Q21" i="48"/>
  <c r="Q39" i="48"/>
  <c r="Q38" i="48"/>
  <c r="Q23" i="48"/>
  <c r="Q11" i="48"/>
  <c r="Q14" i="48" s="1"/>
  <c r="Q26" i="48"/>
  <c r="Q29" i="48" s="1"/>
  <c r="Q41" i="48"/>
  <c r="Q44" i="48" s="1"/>
  <c r="Q43" i="48"/>
  <c r="Q46" i="48" s="1"/>
  <c r="Q27" i="48"/>
  <c r="Q30" i="48" s="1"/>
  <c r="L737" i="48"/>
  <c r="M737" i="48" s="1"/>
  <c r="H30" i="48"/>
  <c r="H50" i="48"/>
  <c r="H53" i="48" s="1"/>
  <c r="H502" i="48"/>
  <c r="H514" i="48" s="1"/>
  <c r="H523" i="48" s="1"/>
  <c r="H532" i="48" s="1"/>
  <c r="H541" i="48" s="1"/>
  <c r="H550" i="48" s="1"/>
  <c r="H513" i="48"/>
  <c r="H522" i="48" s="1"/>
  <c r="H531" i="48" s="1"/>
  <c r="H540" i="48" s="1"/>
  <c r="H549" i="48" s="1"/>
  <c r="H503" i="48"/>
  <c r="H515" i="48" s="1"/>
  <c r="H524" i="48" s="1"/>
  <c r="H533" i="48" s="1"/>
  <c r="H542" i="48" s="1"/>
  <c r="H551" i="48" s="1"/>
  <c r="H273" i="48"/>
  <c r="H282" i="48"/>
  <c r="H291" i="48" s="1"/>
  <c r="H300" i="48" s="1"/>
  <c r="H309" i="48" s="1"/>
  <c r="H318" i="48" s="1"/>
  <c r="H327" i="48" s="1"/>
  <c r="H336" i="48" s="1"/>
  <c r="H345" i="48" s="1"/>
  <c r="H354" i="48" s="1"/>
  <c r="H363" i="48" s="1"/>
  <c r="H372" i="48" s="1"/>
  <c r="H381" i="48" s="1"/>
  <c r="H390" i="48" s="1"/>
  <c r="H399" i="48" s="1"/>
  <c r="H135" i="48"/>
  <c r="H131" i="48"/>
  <c r="H138" i="48" s="1"/>
  <c r="H283" i="48"/>
  <c r="H292" i="48" s="1"/>
  <c r="H301" i="48" s="1"/>
  <c r="H310" i="48" s="1"/>
  <c r="H319" i="48" s="1"/>
  <c r="H328" i="48" s="1"/>
  <c r="H337" i="48" s="1"/>
  <c r="H346" i="48" s="1"/>
  <c r="H355" i="48" s="1"/>
  <c r="H364" i="48" s="1"/>
  <c r="H373" i="48" s="1"/>
  <c r="H382" i="48" s="1"/>
  <c r="H391" i="48" s="1"/>
  <c r="H400" i="48" s="1"/>
  <c r="H274" i="48"/>
  <c r="H100" i="48"/>
  <c r="H96" i="48"/>
  <c r="H103" i="48" s="1"/>
  <c r="H165" i="48"/>
  <c r="H168" i="48"/>
  <c r="H48" i="48"/>
  <c r="H51" i="48" s="1"/>
  <c r="H28" i="48"/>
  <c r="H98" i="48"/>
  <c r="H105" i="48" s="1"/>
  <c r="H102" i="48"/>
  <c r="H238" i="48"/>
  <c r="H237" i="48"/>
  <c r="H129" i="48"/>
  <c r="H136" i="48" s="1"/>
  <c r="H133" i="48"/>
  <c r="H166" i="48"/>
  <c r="H169" i="48"/>
  <c r="K157" i="48"/>
  <c r="L157" i="48" s="1"/>
  <c r="M157" i="48" s="1"/>
  <c r="H178" i="48"/>
  <c r="H175" i="48"/>
  <c r="H185" i="48"/>
  <c r="H29" i="48"/>
  <c r="H49" i="48"/>
  <c r="H52" i="48" s="1"/>
  <c r="H486" i="48"/>
  <c r="H477" i="48"/>
  <c r="H499" i="48"/>
  <c r="H511" i="48" s="1"/>
  <c r="H520" i="48" s="1"/>
  <c r="H529" i="48" s="1"/>
  <c r="H538" i="48" s="1"/>
  <c r="H547" i="48" s="1"/>
  <c r="H510" i="48"/>
  <c r="H519" i="48" s="1"/>
  <c r="H528" i="48" s="1"/>
  <c r="H537" i="48" s="1"/>
  <c r="H546" i="48" s="1"/>
  <c r="H164" i="48"/>
  <c r="H167" i="48"/>
  <c r="H130" i="48"/>
  <c r="H137" i="48" s="1"/>
  <c r="H134" i="48"/>
  <c r="H487" i="48"/>
  <c r="H478" i="48"/>
  <c r="H184" i="48"/>
  <c r="H177" i="48"/>
  <c r="H174" i="48"/>
  <c r="H101" i="48"/>
  <c r="H97" i="48"/>
  <c r="H104" i="48" s="1"/>
  <c r="H554" i="48"/>
  <c r="H563" i="48"/>
  <c r="H572" i="48" s="1"/>
  <c r="H581" i="48" s="1"/>
  <c r="H590" i="48" s="1"/>
  <c r="H599" i="48" s="1"/>
  <c r="H608" i="48" s="1"/>
  <c r="H617" i="48" s="1"/>
  <c r="H626" i="48" s="1"/>
  <c r="H635" i="48" s="1"/>
  <c r="H644" i="48" s="1"/>
  <c r="H653" i="48" s="1"/>
  <c r="H662" i="48" s="1"/>
  <c r="H671" i="48" s="1"/>
  <c r="H680" i="48" s="1"/>
  <c r="H689" i="48" s="1"/>
  <c r="H698" i="48" s="1"/>
  <c r="H707" i="48" s="1"/>
  <c r="H716" i="48" s="1"/>
  <c r="H725" i="48" s="1"/>
  <c r="H284" i="48"/>
  <c r="H293" i="48" s="1"/>
  <c r="H302" i="48" s="1"/>
  <c r="H311" i="48" s="1"/>
  <c r="H320" i="48" s="1"/>
  <c r="H329" i="48" s="1"/>
  <c r="H338" i="48" s="1"/>
  <c r="H347" i="48" s="1"/>
  <c r="H356" i="48" s="1"/>
  <c r="H365" i="48" s="1"/>
  <c r="H374" i="48" s="1"/>
  <c r="H383" i="48" s="1"/>
  <c r="H392" i="48" s="1"/>
  <c r="H401" i="48" s="1"/>
  <c r="H275" i="48"/>
  <c r="H186" i="48"/>
  <c r="H179" i="48"/>
  <c r="H176" i="48"/>
  <c r="H485" i="48"/>
  <c r="H476" i="48"/>
  <c r="K141" i="48"/>
  <c r="L141" i="48" s="1"/>
  <c r="M141" i="48" s="1"/>
  <c r="L54" i="48"/>
  <c r="M54" i="48" s="1"/>
  <c r="I98" i="48"/>
  <c r="I105" i="48" s="1"/>
  <c r="I102" i="48"/>
  <c r="I567" i="48"/>
  <c r="I576" i="48" s="1"/>
  <c r="I585" i="48" s="1"/>
  <c r="I594" i="48" s="1"/>
  <c r="I603" i="48" s="1"/>
  <c r="I612" i="48" s="1"/>
  <c r="I621" i="48" s="1"/>
  <c r="I630" i="48" s="1"/>
  <c r="I639" i="48" s="1"/>
  <c r="I648" i="48" s="1"/>
  <c r="I657" i="48" s="1"/>
  <c r="I666" i="48" s="1"/>
  <c r="I675" i="48" s="1"/>
  <c r="I684" i="48" s="1"/>
  <c r="I693" i="48" s="1"/>
  <c r="I702" i="48" s="1"/>
  <c r="I711" i="48" s="1"/>
  <c r="I720" i="48" s="1"/>
  <c r="I729" i="48" s="1"/>
  <c r="I558" i="48"/>
  <c r="I564" i="48"/>
  <c r="I573" i="48" s="1"/>
  <c r="I582" i="48" s="1"/>
  <c r="I591" i="48" s="1"/>
  <c r="I600" i="48" s="1"/>
  <c r="I609" i="48" s="1"/>
  <c r="I618" i="48" s="1"/>
  <c r="I627" i="48" s="1"/>
  <c r="I636" i="48" s="1"/>
  <c r="I645" i="48" s="1"/>
  <c r="I654" i="48" s="1"/>
  <c r="I663" i="48" s="1"/>
  <c r="I672" i="48" s="1"/>
  <c r="I681" i="48" s="1"/>
  <c r="I690" i="48" s="1"/>
  <c r="I699" i="48" s="1"/>
  <c r="I708" i="48" s="1"/>
  <c r="I717" i="48" s="1"/>
  <c r="I726" i="48" s="1"/>
  <c r="I555" i="48"/>
  <c r="I49" i="48"/>
  <c r="I52" i="48" s="1"/>
  <c r="I29" i="48"/>
  <c r="I126" i="48"/>
  <c r="I115" i="48"/>
  <c r="I122" i="48" s="1"/>
  <c r="I119" i="48"/>
  <c r="I158" i="48"/>
  <c r="K158" i="48" s="1"/>
  <c r="I180" i="48"/>
  <c r="I282" i="48"/>
  <c r="I291" i="48" s="1"/>
  <c r="I300" i="48" s="1"/>
  <c r="I309" i="48" s="1"/>
  <c r="I318" i="48" s="1"/>
  <c r="I327" i="48" s="1"/>
  <c r="I336" i="48" s="1"/>
  <c r="I345" i="48" s="1"/>
  <c r="I354" i="48" s="1"/>
  <c r="I363" i="48" s="1"/>
  <c r="I372" i="48" s="1"/>
  <c r="I381" i="48" s="1"/>
  <c r="I390" i="48" s="1"/>
  <c r="I399" i="48" s="1"/>
  <c r="I408" i="48" s="1"/>
  <c r="I417" i="48" s="1"/>
  <c r="I426" i="48" s="1"/>
  <c r="I435" i="48" s="1"/>
  <c r="I444" i="48" s="1"/>
  <c r="I453" i="48" s="1"/>
  <c r="I462" i="48" s="1"/>
  <c r="I471" i="48" s="1"/>
  <c r="I480" i="48" s="1"/>
  <c r="I489" i="48" s="1"/>
  <c r="I273" i="48"/>
  <c r="I128" i="48"/>
  <c r="I117" i="48"/>
  <c r="I124" i="48" s="1"/>
  <c r="I121" i="48"/>
  <c r="I485" i="48"/>
  <c r="I476" i="48"/>
  <c r="I184" i="48"/>
  <c r="I177" i="48"/>
  <c r="I174" i="48"/>
  <c r="I127" i="48"/>
  <c r="I116" i="48"/>
  <c r="I123" i="48" s="1"/>
  <c r="I120" i="48"/>
  <c r="I275" i="48"/>
  <c r="I284" i="48"/>
  <c r="I293" i="48" s="1"/>
  <c r="I302" i="48" s="1"/>
  <c r="I311" i="48" s="1"/>
  <c r="I320" i="48" s="1"/>
  <c r="I329" i="48" s="1"/>
  <c r="I338" i="48" s="1"/>
  <c r="I347" i="48" s="1"/>
  <c r="I356" i="48" s="1"/>
  <c r="I365" i="48" s="1"/>
  <c r="I374" i="48" s="1"/>
  <c r="I383" i="48" s="1"/>
  <c r="I392" i="48" s="1"/>
  <c r="I401" i="48" s="1"/>
  <c r="I410" i="48" s="1"/>
  <c r="I419" i="48" s="1"/>
  <c r="I428" i="48" s="1"/>
  <c r="I437" i="48" s="1"/>
  <c r="I446" i="48" s="1"/>
  <c r="I455" i="48" s="1"/>
  <c r="I464" i="48" s="1"/>
  <c r="I473" i="48" s="1"/>
  <c r="I482" i="48" s="1"/>
  <c r="I491" i="48" s="1"/>
  <c r="I565" i="48"/>
  <c r="I574" i="48" s="1"/>
  <c r="I583" i="48" s="1"/>
  <c r="I592" i="48" s="1"/>
  <c r="I601" i="48" s="1"/>
  <c r="I610" i="48" s="1"/>
  <c r="I619" i="48" s="1"/>
  <c r="I628" i="48" s="1"/>
  <c r="I637" i="48" s="1"/>
  <c r="I646" i="48" s="1"/>
  <c r="I655" i="48" s="1"/>
  <c r="I664" i="48" s="1"/>
  <c r="I673" i="48" s="1"/>
  <c r="I682" i="48" s="1"/>
  <c r="I691" i="48" s="1"/>
  <c r="I700" i="48" s="1"/>
  <c r="I709" i="48" s="1"/>
  <c r="I718" i="48" s="1"/>
  <c r="I727" i="48" s="1"/>
  <c r="I556" i="48"/>
  <c r="I164" i="48"/>
  <c r="I167" i="48"/>
  <c r="I486" i="48"/>
  <c r="I477" i="48"/>
  <c r="I179" i="48"/>
  <c r="I186" i="48"/>
  <c r="I176" i="48"/>
  <c r="N735" i="48"/>
  <c r="O735" i="48" s="1"/>
  <c r="P735" i="48" s="1"/>
  <c r="I165" i="48"/>
  <c r="I168" i="48"/>
  <c r="I169" i="48"/>
  <c r="I166" i="48"/>
  <c r="I487" i="48"/>
  <c r="I478" i="48"/>
  <c r="I100" i="48"/>
  <c r="I96" i="48"/>
  <c r="I103" i="48" s="1"/>
  <c r="I48" i="48"/>
  <c r="I51" i="48" s="1"/>
  <c r="I28" i="48"/>
  <c r="I175" i="48"/>
  <c r="I178" i="48"/>
  <c r="I185" i="48"/>
  <c r="K140" i="48"/>
  <c r="L140" i="48" s="1"/>
  <c r="M140" i="48" s="1"/>
  <c r="I274" i="48"/>
  <c r="I283" i="48"/>
  <c r="I292" i="48" s="1"/>
  <c r="I301" i="48" s="1"/>
  <c r="I310" i="48" s="1"/>
  <c r="I319" i="48" s="1"/>
  <c r="I328" i="48" s="1"/>
  <c r="I337" i="48" s="1"/>
  <c r="I346" i="48" s="1"/>
  <c r="I355" i="48" s="1"/>
  <c r="I364" i="48" s="1"/>
  <c r="I373" i="48" s="1"/>
  <c r="I382" i="48" s="1"/>
  <c r="I391" i="48" s="1"/>
  <c r="I400" i="48" s="1"/>
  <c r="I409" i="48" s="1"/>
  <c r="I418" i="48" s="1"/>
  <c r="I427" i="48" s="1"/>
  <c r="I436" i="48" s="1"/>
  <c r="I445" i="48" s="1"/>
  <c r="I454" i="48" s="1"/>
  <c r="I463" i="48" s="1"/>
  <c r="I472" i="48" s="1"/>
  <c r="I481" i="48" s="1"/>
  <c r="I490" i="48" s="1"/>
  <c r="I30" i="48"/>
  <c r="I50" i="48"/>
  <c r="I53" i="48" s="1"/>
  <c r="I569" i="48"/>
  <c r="I578" i="48" s="1"/>
  <c r="I587" i="48" s="1"/>
  <c r="I596" i="48" s="1"/>
  <c r="I605" i="48" s="1"/>
  <c r="I614" i="48" s="1"/>
  <c r="I623" i="48" s="1"/>
  <c r="I632" i="48" s="1"/>
  <c r="I641" i="48" s="1"/>
  <c r="I650" i="48" s="1"/>
  <c r="I659" i="48" s="1"/>
  <c r="I668" i="48" s="1"/>
  <c r="I677" i="48" s="1"/>
  <c r="I686" i="48" s="1"/>
  <c r="I695" i="48" s="1"/>
  <c r="I704" i="48" s="1"/>
  <c r="I713" i="48" s="1"/>
  <c r="I722" i="48" s="1"/>
  <c r="I731" i="48" s="1"/>
  <c r="I560" i="48"/>
  <c r="I97" i="48"/>
  <c r="I104" i="48" s="1"/>
  <c r="I101" i="48"/>
  <c r="I568" i="48"/>
  <c r="I577" i="48" s="1"/>
  <c r="I586" i="48" s="1"/>
  <c r="I595" i="48" s="1"/>
  <c r="I604" i="48" s="1"/>
  <c r="I613" i="48" s="1"/>
  <c r="I622" i="48" s="1"/>
  <c r="I631" i="48" s="1"/>
  <c r="I640" i="48" s="1"/>
  <c r="I649" i="48" s="1"/>
  <c r="I658" i="48" s="1"/>
  <c r="I667" i="48" s="1"/>
  <c r="I676" i="48" s="1"/>
  <c r="I685" i="48" s="1"/>
  <c r="I694" i="48" s="1"/>
  <c r="I703" i="48" s="1"/>
  <c r="I712" i="48" s="1"/>
  <c r="I721" i="48" s="1"/>
  <c r="I730" i="48" s="1"/>
  <c r="I559" i="48"/>
  <c r="G20" i="48"/>
  <c r="G36" i="48" s="1"/>
  <c r="K36" i="48" s="1"/>
  <c r="G16" i="48"/>
  <c r="G32" i="48" s="1"/>
  <c r="K32" i="48" s="1"/>
  <c r="K139" i="48"/>
  <c r="L139" i="48" s="1"/>
  <c r="M139" i="48" s="1"/>
  <c r="K74" i="48"/>
  <c r="N74" i="48" s="1"/>
  <c r="K66" i="48"/>
  <c r="N66" i="48" s="1"/>
  <c r="O66" i="48" s="1"/>
  <c r="P66" i="48" s="1"/>
  <c r="G186" i="48"/>
  <c r="G179" i="48"/>
  <c r="G176" i="48"/>
  <c r="K173" i="48"/>
  <c r="G115" i="48"/>
  <c r="G119" i="48"/>
  <c r="G126" i="48"/>
  <c r="K112" i="48"/>
  <c r="K75" i="48"/>
  <c r="N208" i="48"/>
  <c r="O208" i="48" s="1"/>
  <c r="P208" i="48" s="1"/>
  <c r="L208" i="48"/>
  <c r="M208" i="48" s="1"/>
  <c r="J174" i="48"/>
  <c r="J184" i="48"/>
  <c r="J177" i="48"/>
  <c r="G149" i="48"/>
  <c r="G149" i="17"/>
  <c r="G162" i="17" s="1"/>
  <c r="G165" i="17" s="1"/>
  <c r="J159" i="48"/>
  <c r="J182" i="48" s="1"/>
  <c r="J181" i="48"/>
  <c r="G179" i="17"/>
  <c r="G186" i="17"/>
  <c r="G176" i="17"/>
  <c r="L205" i="48"/>
  <c r="M205" i="48" s="1"/>
  <c r="G51" i="48"/>
  <c r="G82" i="48"/>
  <c r="K82" i="48" s="1"/>
  <c r="K79" i="48"/>
  <c r="N209" i="48"/>
  <c r="O209" i="48" s="1"/>
  <c r="P209" i="48" s="1"/>
  <c r="L209" i="48"/>
  <c r="M209" i="48" s="1"/>
  <c r="J485" i="48"/>
  <c r="J476" i="48"/>
  <c r="N157" i="48"/>
  <c r="J169" i="48"/>
  <c r="J166" i="48"/>
  <c r="G150" i="48"/>
  <c r="G150" i="17"/>
  <c r="G163" i="17" s="1"/>
  <c r="G166" i="17" s="1"/>
  <c r="N56" i="48"/>
  <c r="L56" i="48"/>
  <c r="M56" i="48" s="1"/>
  <c r="J96" i="48"/>
  <c r="J103" i="48" s="1"/>
  <c r="J100" i="48"/>
  <c r="J97" i="48"/>
  <c r="J104" i="48" s="1"/>
  <c r="J101" i="48"/>
  <c r="K94" i="48"/>
  <c r="G101" i="48"/>
  <c r="G97" i="48"/>
  <c r="J164" i="48"/>
  <c r="J167" i="48"/>
  <c r="K180" i="48"/>
  <c r="J186" i="48"/>
  <c r="J179" i="48"/>
  <c r="J176" i="48"/>
  <c r="G17" i="48"/>
  <c r="G50" i="48"/>
  <c r="G30" i="48"/>
  <c r="K27" i="48"/>
  <c r="G89" i="48"/>
  <c r="K89" i="48" s="1"/>
  <c r="K86" i="48"/>
  <c r="J275" i="48"/>
  <c r="J284" i="48"/>
  <c r="J293" i="48" s="1"/>
  <c r="J302" i="48" s="1"/>
  <c r="J311" i="48" s="1"/>
  <c r="J320" i="48" s="1"/>
  <c r="J329" i="48" s="1"/>
  <c r="J338" i="48" s="1"/>
  <c r="J347" i="48" s="1"/>
  <c r="J356" i="48" s="1"/>
  <c r="J365" i="48" s="1"/>
  <c r="J374" i="48" s="1"/>
  <c r="J383" i="48" s="1"/>
  <c r="J392" i="48" s="1"/>
  <c r="J401" i="48" s="1"/>
  <c r="J410" i="48" s="1"/>
  <c r="J419" i="48" s="1"/>
  <c r="J428" i="48" s="1"/>
  <c r="J437" i="48" s="1"/>
  <c r="J446" i="48" s="1"/>
  <c r="J455" i="48" s="1"/>
  <c r="J464" i="48" s="1"/>
  <c r="J473" i="48" s="1"/>
  <c r="J482" i="48" s="1"/>
  <c r="J491" i="48" s="1"/>
  <c r="G159" i="48"/>
  <c r="G181" i="48"/>
  <c r="G90" i="48"/>
  <c r="K90" i="48" s="1"/>
  <c r="K87" i="48"/>
  <c r="L223" i="48"/>
  <c r="M223" i="48" s="1"/>
  <c r="N223" i="48"/>
  <c r="O223" i="48" s="1"/>
  <c r="P223" i="48" s="1"/>
  <c r="K113" i="48"/>
  <c r="G116" i="48"/>
  <c r="G120" i="48"/>
  <c r="G127" i="48"/>
  <c r="G49" i="48"/>
  <c r="G29" i="48"/>
  <c r="K26" i="48"/>
  <c r="L61" i="48"/>
  <c r="M61" i="48" s="1"/>
  <c r="N61" i="48"/>
  <c r="O61" i="48" s="1"/>
  <c r="P61" i="48" s="1"/>
  <c r="K65" i="48"/>
  <c r="N63" i="48"/>
  <c r="O63" i="48" s="1"/>
  <c r="P63" i="48" s="1"/>
  <c r="L63" i="48"/>
  <c r="M63" i="48" s="1"/>
  <c r="G10" i="17"/>
  <c r="G22" i="17" s="1"/>
  <c r="G38" i="17" s="1"/>
  <c r="G10" i="48"/>
  <c r="K225" i="48"/>
  <c r="G227" i="48"/>
  <c r="K227" i="48" s="1"/>
  <c r="J98" i="48"/>
  <c r="J105" i="48" s="1"/>
  <c r="J102" i="48"/>
  <c r="L55" i="48"/>
  <c r="M55" i="48" s="1"/>
  <c r="N55" i="48"/>
  <c r="O55" i="48" s="1"/>
  <c r="P55" i="48" s="1"/>
  <c r="G81" i="48"/>
  <c r="K81" i="48" s="1"/>
  <c r="K78" i="48"/>
  <c r="G72" i="48"/>
  <c r="K72" i="48" s="1"/>
  <c r="K69" i="48"/>
  <c r="J478" i="48"/>
  <c r="J487" i="48"/>
  <c r="K76" i="48"/>
  <c r="G226" i="48"/>
  <c r="K226" i="48" s="1"/>
  <c r="K222" i="48"/>
  <c r="J282" i="48"/>
  <c r="J291" i="48" s="1"/>
  <c r="J300" i="48" s="1"/>
  <c r="J309" i="48" s="1"/>
  <c r="J318" i="48" s="1"/>
  <c r="J327" i="48" s="1"/>
  <c r="J336" i="48" s="1"/>
  <c r="J345" i="48" s="1"/>
  <c r="J354" i="48" s="1"/>
  <c r="J363" i="48" s="1"/>
  <c r="J372" i="48" s="1"/>
  <c r="J381" i="48" s="1"/>
  <c r="J390" i="48" s="1"/>
  <c r="J399" i="48" s="1"/>
  <c r="J408" i="48" s="1"/>
  <c r="J417" i="48" s="1"/>
  <c r="J426" i="48" s="1"/>
  <c r="J435" i="48" s="1"/>
  <c r="J444" i="48" s="1"/>
  <c r="J453" i="48" s="1"/>
  <c r="J462" i="48" s="1"/>
  <c r="J471" i="48" s="1"/>
  <c r="J480" i="48" s="1"/>
  <c r="J489" i="48" s="1"/>
  <c r="J273" i="48"/>
  <c r="J567" i="48"/>
  <c r="J576" i="48" s="1"/>
  <c r="J585" i="48" s="1"/>
  <c r="J594" i="48" s="1"/>
  <c r="J603" i="48" s="1"/>
  <c r="J612" i="48" s="1"/>
  <c r="J621" i="48" s="1"/>
  <c r="J630" i="48" s="1"/>
  <c r="J639" i="48" s="1"/>
  <c r="J648" i="48" s="1"/>
  <c r="J657" i="48" s="1"/>
  <c r="J666" i="48" s="1"/>
  <c r="J675" i="48" s="1"/>
  <c r="J684" i="48" s="1"/>
  <c r="J693" i="48" s="1"/>
  <c r="J702" i="48" s="1"/>
  <c r="J711" i="48" s="1"/>
  <c r="J720" i="48" s="1"/>
  <c r="J729" i="48" s="1"/>
  <c r="J558" i="48"/>
  <c r="J175" i="48"/>
  <c r="J178" i="48"/>
  <c r="J185" i="48"/>
  <c r="G83" i="48"/>
  <c r="K83" i="48" s="1"/>
  <c r="K80" i="48"/>
  <c r="G11" i="17"/>
  <c r="G14" i="17" s="1"/>
  <c r="G11" i="48"/>
  <c r="J48" i="48"/>
  <c r="J51" i="48" s="1"/>
  <c r="J28" i="48"/>
  <c r="N221" i="48"/>
  <c r="L221" i="48"/>
  <c r="M221" i="48" s="1"/>
  <c r="G128" i="48"/>
  <c r="G117" i="48"/>
  <c r="G121" i="48"/>
  <c r="K114" i="48"/>
  <c r="K64" i="48"/>
  <c r="G177" i="17"/>
  <c r="G184" i="17"/>
  <c r="G174" i="17"/>
  <c r="J568" i="48"/>
  <c r="J577" i="48" s="1"/>
  <c r="J586" i="48" s="1"/>
  <c r="J595" i="48" s="1"/>
  <c r="J604" i="48" s="1"/>
  <c r="J613" i="48" s="1"/>
  <c r="J622" i="48" s="1"/>
  <c r="J631" i="48" s="1"/>
  <c r="J640" i="48" s="1"/>
  <c r="J649" i="48" s="1"/>
  <c r="J658" i="48" s="1"/>
  <c r="J667" i="48" s="1"/>
  <c r="J676" i="48" s="1"/>
  <c r="J685" i="48" s="1"/>
  <c r="J694" i="48" s="1"/>
  <c r="J703" i="48" s="1"/>
  <c r="J712" i="48" s="1"/>
  <c r="J721" i="48" s="1"/>
  <c r="J730" i="48" s="1"/>
  <c r="J559" i="48"/>
  <c r="J168" i="48"/>
  <c r="J165" i="48"/>
  <c r="G102" i="48"/>
  <c r="G98" i="48"/>
  <c r="K95" i="48"/>
  <c r="J50" i="48"/>
  <c r="J53" i="48" s="1"/>
  <c r="J30" i="48"/>
  <c r="L497" i="48"/>
  <c r="M497" i="48" s="1"/>
  <c r="N497" i="48"/>
  <c r="O497" i="48" s="1"/>
  <c r="P497" i="48" s="1"/>
  <c r="G100" i="48"/>
  <c r="K93" i="48"/>
  <c r="G96" i="48"/>
  <c r="O737" i="48"/>
  <c r="P737" i="48" s="1"/>
  <c r="J283" i="48"/>
  <c r="J292" i="48" s="1"/>
  <c r="J301" i="48" s="1"/>
  <c r="J310" i="48" s="1"/>
  <c r="J319" i="48" s="1"/>
  <c r="J328" i="48" s="1"/>
  <c r="J337" i="48" s="1"/>
  <c r="J346" i="48" s="1"/>
  <c r="J355" i="48" s="1"/>
  <c r="J364" i="48" s="1"/>
  <c r="J373" i="48" s="1"/>
  <c r="J382" i="48" s="1"/>
  <c r="J391" i="48" s="1"/>
  <c r="J400" i="48" s="1"/>
  <c r="J409" i="48" s="1"/>
  <c r="J418" i="48" s="1"/>
  <c r="J427" i="48" s="1"/>
  <c r="J436" i="48" s="1"/>
  <c r="J445" i="48" s="1"/>
  <c r="J454" i="48" s="1"/>
  <c r="J463" i="48" s="1"/>
  <c r="J472" i="48" s="1"/>
  <c r="J481" i="48" s="1"/>
  <c r="J490" i="48" s="1"/>
  <c r="J274" i="48"/>
  <c r="L193" i="48"/>
  <c r="M193" i="48" s="1"/>
  <c r="J560" i="48"/>
  <c r="J569" i="48"/>
  <c r="J578" i="48" s="1"/>
  <c r="J587" i="48" s="1"/>
  <c r="J596" i="48" s="1"/>
  <c r="J605" i="48" s="1"/>
  <c r="J614" i="48" s="1"/>
  <c r="J623" i="48" s="1"/>
  <c r="J632" i="48" s="1"/>
  <c r="J641" i="48" s="1"/>
  <c r="J650" i="48" s="1"/>
  <c r="J659" i="48" s="1"/>
  <c r="J668" i="48" s="1"/>
  <c r="J677" i="48" s="1"/>
  <c r="J686" i="48" s="1"/>
  <c r="J695" i="48" s="1"/>
  <c r="J704" i="48" s="1"/>
  <c r="J713" i="48" s="1"/>
  <c r="J722" i="48" s="1"/>
  <c r="J731" i="48" s="1"/>
  <c r="G73" i="48"/>
  <c r="K73" i="48" s="1"/>
  <c r="K70" i="48"/>
  <c r="G19" i="48"/>
  <c r="G518" i="48"/>
  <c r="K509" i="48"/>
  <c r="O736" i="48"/>
  <c r="P736" i="48" s="1"/>
  <c r="K68" i="48"/>
  <c r="G71" i="48"/>
  <c r="K71" i="48" s="1"/>
  <c r="G216" i="48"/>
  <c r="K216" i="48" s="1"/>
  <c r="K211" i="48"/>
  <c r="J477" i="48"/>
  <c r="J486" i="48"/>
  <c r="G148" i="17"/>
  <c r="G161" i="17" s="1"/>
  <c r="G167" i="17" s="1"/>
  <c r="G148" i="48"/>
  <c r="G178" i="48"/>
  <c r="G175" i="48"/>
  <c r="G185" i="48"/>
  <c r="K172" i="48"/>
  <c r="J49" i="48"/>
  <c r="J52" i="48" s="1"/>
  <c r="J29" i="48"/>
  <c r="J121" i="48"/>
  <c r="J117" i="48"/>
  <c r="J124" i="48" s="1"/>
  <c r="J128" i="48"/>
  <c r="G233" i="48"/>
  <c r="G232" i="48"/>
  <c r="G234" i="48"/>
  <c r="K492" i="48"/>
  <c r="L492" i="48" s="1"/>
  <c r="M492" i="48" s="1"/>
  <c r="G34" i="48"/>
  <c r="K34" i="48" s="1"/>
  <c r="K18" i="48"/>
  <c r="K498" i="48"/>
  <c r="G499" i="48"/>
  <c r="G510" i="48"/>
  <c r="G88" i="48"/>
  <c r="K88" i="48" s="1"/>
  <c r="K85" i="48"/>
  <c r="G215" i="48"/>
  <c r="K215" i="48" s="1"/>
  <c r="K210" i="48"/>
  <c r="J564" i="48"/>
  <c r="J573" i="48" s="1"/>
  <c r="J582" i="48" s="1"/>
  <c r="J591" i="48" s="1"/>
  <c r="J600" i="48" s="1"/>
  <c r="J609" i="48" s="1"/>
  <c r="J618" i="48" s="1"/>
  <c r="J627" i="48" s="1"/>
  <c r="J636" i="48" s="1"/>
  <c r="J645" i="48" s="1"/>
  <c r="J654" i="48" s="1"/>
  <c r="J663" i="48" s="1"/>
  <c r="J672" i="48" s="1"/>
  <c r="J681" i="48" s="1"/>
  <c r="J690" i="48" s="1"/>
  <c r="J699" i="48" s="1"/>
  <c r="J708" i="48" s="1"/>
  <c r="J717" i="48" s="1"/>
  <c r="J726" i="48" s="1"/>
  <c r="J555" i="48"/>
  <c r="G174" i="48"/>
  <c r="G177" i="48"/>
  <c r="G184" i="48"/>
  <c r="K171" i="48"/>
  <c r="L194" i="48"/>
  <c r="M194" i="48" s="1"/>
  <c r="J127" i="48"/>
  <c r="J120" i="48"/>
  <c r="J116" i="48"/>
  <c r="J123" i="48" s="1"/>
  <c r="K15" i="48"/>
  <c r="G21" i="48"/>
  <c r="G12" i="48"/>
  <c r="G41" i="48"/>
  <c r="K9" i="48"/>
  <c r="K25" i="48"/>
  <c r="K501" i="48"/>
  <c r="G503" i="48"/>
  <c r="G502" i="48"/>
  <c r="G513" i="48"/>
  <c r="N62" i="48"/>
  <c r="O62" i="48" s="1"/>
  <c r="P62" i="48" s="1"/>
  <c r="L62" i="48"/>
  <c r="M62" i="48" s="1"/>
  <c r="G214" i="48"/>
  <c r="K214" i="48" s="1"/>
  <c r="K213" i="48"/>
  <c r="J565" i="48"/>
  <c r="J574" i="48" s="1"/>
  <c r="J583" i="48" s="1"/>
  <c r="J592" i="48" s="1"/>
  <c r="J601" i="48" s="1"/>
  <c r="J610" i="48" s="1"/>
  <c r="J619" i="48" s="1"/>
  <c r="J628" i="48" s="1"/>
  <c r="J637" i="48" s="1"/>
  <c r="J646" i="48" s="1"/>
  <c r="J655" i="48" s="1"/>
  <c r="J664" i="48" s="1"/>
  <c r="J673" i="48" s="1"/>
  <c r="J682" i="48" s="1"/>
  <c r="J691" i="48" s="1"/>
  <c r="J700" i="48" s="1"/>
  <c r="J709" i="48" s="1"/>
  <c r="J718" i="48" s="1"/>
  <c r="J727" i="48" s="1"/>
  <c r="J556" i="48"/>
  <c r="G178" i="17"/>
  <c r="G175" i="17"/>
  <c r="G185" i="17"/>
  <c r="J119" i="48"/>
  <c r="J126" i="48"/>
  <c r="J115" i="48"/>
  <c r="J122" i="48" s="1"/>
  <c r="K31" i="48"/>
  <c r="H563" i="17"/>
  <c r="H572" i="17" s="1"/>
  <c r="H581" i="17" s="1"/>
  <c r="H590" i="17" s="1"/>
  <c r="H599" i="17" s="1"/>
  <c r="H608" i="17" s="1"/>
  <c r="H617" i="17" s="1"/>
  <c r="H626" i="17" s="1"/>
  <c r="H635" i="17" s="1"/>
  <c r="H644" i="17" s="1"/>
  <c r="H653" i="17" s="1"/>
  <c r="H662" i="17" s="1"/>
  <c r="H671" i="17" s="1"/>
  <c r="H680" i="17" s="1"/>
  <c r="H689" i="17" s="1"/>
  <c r="H698" i="17" s="1"/>
  <c r="H707" i="17" s="1"/>
  <c r="H716" i="17" s="1"/>
  <c r="H725" i="17" s="1"/>
  <c r="H554" i="17"/>
  <c r="J563" i="17"/>
  <c r="J572" i="17" s="1"/>
  <c r="J581" i="17" s="1"/>
  <c r="J590" i="17" s="1"/>
  <c r="J599" i="17" s="1"/>
  <c r="J608" i="17" s="1"/>
  <c r="J617" i="17" s="1"/>
  <c r="J626" i="17" s="1"/>
  <c r="J635" i="17" s="1"/>
  <c r="J644" i="17" s="1"/>
  <c r="J653" i="17" s="1"/>
  <c r="J662" i="17" s="1"/>
  <c r="J671" i="17" s="1"/>
  <c r="J680" i="17" s="1"/>
  <c r="J689" i="17" s="1"/>
  <c r="J698" i="17" s="1"/>
  <c r="J707" i="17" s="1"/>
  <c r="J716" i="17" s="1"/>
  <c r="J725" i="17" s="1"/>
  <c r="J554" i="17"/>
  <c r="H549" i="17"/>
  <c r="G545" i="17"/>
  <c r="J549" i="17"/>
  <c r="J558" i="17" s="1"/>
  <c r="H187" i="17"/>
  <c r="H190" i="17"/>
  <c r="H191" i="17"/>
  <c r="H188" i="17"/>
  <c r="H192" i="17"/>
  <c r="H189" i="17"/>
  <c r="Q182" i="17"/>
  <c r="Q181" i="17"/>
  <c r="Q180" i="17"/>
  <c r="Q157" i="17"/>
  <c r="Q158" i="17" s="1"/>
  <c r="Q159" i="17" s="1"/>
  <c r="Q171" i="17"/>
  <c r="J263" i="40"/>
  <c r="Q194" i="48" s="1"/>
  <c r="Q149" i="48" s="1"/>
  <c r="Q172" i="17"/>
  <c r="Q173" i="17"/>
  <c r="J161" i="17"/>
  <c r="J164" i="17" s="1"/>
  <c r="J171" i="17"/>
  <c r="J184" i="17" s="1"/>
  <c r="J163" i="17"/>
  <c r="J166" i="17" s="1"/>
  <c r="J173" i="17"/>
  <c r="J186" i="17" s="1"/>
  <c r="I158" i="17"/>
  <c r="I180" i="17"/>
  <c r="I162" i="17"/>
  <c r="I165" i="17" s="1"/>
  <c r="I172" i="17"/>
  <c r="I185" i="17" s="1"/>
  <c r="H174" i="17"/>
  <c r="H177" i="17"/>
  <c r="H176" i="17"/>
  <c r="H179" i="17"/>
  <c r="I163" i="17"/>
  <c r="I169" i="17" s="1"/>
  <c r="I173" i="17"/>
  <c r="I186" i="17" s="1"/>
  <c r="G158" i="17"/>
  <c r="G180" i="17"/>
  <c r="H178" i="17"/>
  <c r="H175" i="17"/>
  <c r="I161" i="17"/>
  <c r="I167" i="17" s="1"/>
  <c r="I171" i="17"/>
  <c r="I184" i="17" s="1"/>
  <c r="J162" i="17"/>
  <c r="J165" i="17" s="1"/>
  <c r="J172" i="17"/>
  <c r="J185" i="17" s="1"/>
  <c r="J159" i="17"/>
  <c r="J182" i="17" s="1"/>
  <c r="J181" i="17"/>
  <c r="G29" i="17"/>
  <c r="G49" i="17"/>
  <c r="G52" i="17" s="1"/>
  <c r="G30" i="17"/>
  <c r="G50" i="17"/>
  <c r="G53" i="17" s="1"/>
  <c r="I126" i="17"/>
  <c r="I133" i="17" s="1"/>
  <c r="I119" i="17"/>
  <c r="G128" i="17"/>
  <c r="G131" i="17" s="1"/>
  <c r="G138" i="17" s="1"/>
  <c r="G121" i="17"/>
  <c r="H127" i="17"/>
  <c r="H130" i="17" s="1"/>
  <c r="H137" i="17" s="1"/>
  <c r="H120" i="17"/>
  <c r="G126" i="17"/>
  <c r="G129" i="17" s="1"/>
  <c r="G136" i="17" s="1"/>
  <c r="G119" i="17"/>
  <c r="J96" i="17"/>
  <c r="J103" i="17" s="1"/>
  <c r="J100" i="17"/>
  <c r="G98" i="17"/>
  <c r="G105" i="17" s="1"/>
  <c r="G102" i="17"/>
  <c r="G97" i="17"/>
  <c r="G104" i="17" s="1"/>
  <c r="G101" i="17"/>
  <c r="I96" i="17"/>
  <c r="I103" i="17" s="1"/>
  <c r="I100" i="17"/>
  <c r="G96" i="17"/>
  <c r="G103" i="17" s="1"/>
  <c r="G100" i="17"/>
  <c r="Q25" i="17"/>
  <c r="Q28" i="17" s="1"/>
  <c r="Q26" i="17"/>
  <c r="Q29" i="17" s="1"/>
  <c r="Q27" i="17"/>
  <c r="Q30" i="17" s="1"/>
  <c r="Q50" i="17"/>
  <c r="Q53" i="17" s="1"/>
  <c r="J95" i="17"/>
  <c r="J70" i="17"/>
  <c r="J73" i="17" s="1"/>
  <c r="H95" i="17"/>
  <c r="H70" i="17"/>
  <c r="H73" i="17" s="1"/>
  <c r="G73" i="17"/>
  <c r="I95" i="17"/>
  <c r="I70" i="17"/>
  <c r="I73" i="17" s="1"/>
  <c r="I94" i="17"/>
  <c r="I69" i="17"/>
  <c r="I72" i="17" s="1"/>
  <c r="G72" i="17"/>
  <c r="H93" i="17"/>
  <c r="H68" i="17"/>
  <c r="H71" i="17" s="1"/>
  <c r="H94" i="17"/>
  <c r="H69" i="17"/>
  <c r="H72" i="17" s="1"/>
  <c r="J94" i="17"/>
  <c r="J69" i="17"/>
  <c r="J72" i="17" s="1"/>
  <c r="G71" i="17"/>
  <c r="Q49" i="17"/>
  <c r="Q52" i="17" s="1"/>
  <c r="Q23" i="17"/>
  <c r="Q22" i="17"/>
  <c r="Q21" i="17"/>
  <c r="Q39" i="17"/>
  <c r="Q38" i="17"/>
  <c r="Q37" i="17"/>
  <c r="Q48" i="17"/>
  <c r="Q51" i="17" s="1"/>
  <c r="J28" i="17"/>
  <c r="J48" i="17"/>
  <c r="J51" i="17" s="1"/>
  <c r="J29" i="17"/>
  <c r="J49" i="17"/>
  <c r="J52" i="17" s="1"/>
  <c r="J30" i="17"/>
  <c r="J50" i="17"/>
  <c r="J53" i="17" s="1"/>
  <c r="I29" i="17"/>
  <c r="I49" i="17"/>
  <c r="I52" i="17" s="1"/>
  <c r="H41" i="17"/>
  <c r="H12" i="17"/>
  <c r="H25" i="17"/>
  <c r="H43" i="17"/>
  <c r="H14" i="17"/>
  <c r="H27" i="17"/>
  <c r="I41" i="17"/>
  <c r="I44" i="17" s="1"/>
  <c r="I25" i="17"/>
  <c r="H13" i="17"/>
  <c r="H26" i="17"/>
  <c r="I43" i="17"/>
  <c r="I46" i="17" s="1"/>
  <c r="I27" i="17"/>
  <c r="Q41" i="17"/>
  <c r="Q44" i="17" s="1"/>
  <c r="Q42" i="17"/>
  <c r="Q45" i="17" s="1"/>
  <c r="Q43" i="17"/>
  <c r="Q46" i="17" s="1"/>
  <c r="I279" i="17"/>
  <c r="I288" i="17" s="1"/>
  <c r="Q208" i="17"/>
  <c r="H499" i="17"/>
  <c r="H511" i="17" s="1"/>
  <c r="H520" i="17" s="1"/>
  <c r="H529" i="17" s="1"/>
  <c r="H538" i="17" s="1"/>
  <c r="H510" i="17"/>
  <c r="H519" i="17" s="1"/>
  <c r="H528" i="17" s="1"/>
  <c r="H537" i="17" s="1"/>
  <c r="J499" i="17"/>
  <c r="J511" i="17" s="1"/>
  <c r="J520" i="17" s="1"/>
  <c r="J529" i="17" s="1"/>
  <c r="J538" i="17" s="1"/>
  <c r="J510" i="17"/>
  <c r="J519" i="17" s="1"/>
  <c r="J528" i="17" s="1"/>
  <c r="J537" i="17" s="1"/>
  <c r="G253" i="17"/>
  <c r="G280" i="17"/>
  <c r="G289" i="17" s="1"/>
  <c r="G252" i="17"/>
  <c r="G279" i="17"/>
  <c r="G288" i="17" s="1"/>
  <c r="G251" i="17"/>
  <c r="G278" i="17"/>
  <c r="G287" i="17" s="1"/>
  <c r="I251" i="17"/>
  <c r="I278" i="17"/>
  <c r="I287" i="17" s="1"/>
  <c r="I253" i="17"/>
  <c r="I280" i="17"/>
  <c r="I289" i="17" s="1"/>
  <c r="I243" i="17"/>
  <c r="I252" i="17"/>
  <c r="G237" i="17"/>
  <c r="G243" i="17"/>
  <c r="G238" i="17"/>
  <c r="G244" i="17"/>
  <c r="I236" i="17"/>
  <c r="I242" i="17"/>
  <c r="I238" i="17"/>
  <c r="I244" i="17"/>
  <c r="G236" i="17"/>
  <c r="G242" i="17"/>
  <c r="I378" i="17"/>
  <c r="I387" i="17" s="1"/>
  <c r="I396" i="17" s="1"/>
  <c r="I405" i="17" s="1"/>
  <c r="I414" i="17" s="1"/>
  <c r="I423" i="17" s="1"/>
  <c r="I432" i="17" s="1"/>
  <c r="I441" i="17" s="1"/>
  <c r="I450" i="17" s="1"/>
  <c r="I459" i="17" s="1"/>
  <c r="I468" i="17" s="1"/>
  <c r="I237" i="17"/>
  <c r="G368" i="17"/>
  <c r="G378" i="17"/>
  <c r="G387" i="17" s="1"/>
  <c r="G396" i="17" s="1"/>
  <c r="G405" i="17" s="1"/>
  <c r="G414" i="17" s="1"/>
  <c r="G423" i="17" s="1"/>
  <c r="G432" i="17" s="1"/>
  <c r="G441" i="17" s="1"/>
  <c r="G450" i="17" s="1"/>
  <c r="G459" i="17" s="1"/>
  <c r="G468" i="17" s="1"/>
  <c r="G369" i="17"/>
  <c r="G379" i="17"/>
  <c r="G388" i="17" s="1"/>
  <c r="G397" i="17" s="1"/>
  <c r="G406" i="17" s="1"/>
  <c r="G415" i="17" s="1"/>
  <c r="G424" i="17" s="1"/>
  <c r="G433" i="17" s="1"/>
  <c r="G442" i="17" s="1"/>
  <c r="G451" i="17" s="1"/>
  <c r="G460" i="17" s="1"/>
  <c r="G469" i="17" s="1"/>
  <c r="I367" i="17"/>
  <c r="I377" i="17"/>
  <c r="I386" i="17" s="1"/>
  <c r="I395" i="17" s="1"/>
  <c r="I404" i="17" s="1"/>
  <c r="I413" i="17" s="1"/>
  <c r="I422" i="17" s="1"/>
  <c r="I431" i="17" s="1"/>
  <c r="I440" i="17" s="1"/>
  <c r="I449" i="17" s="1"/>
  <c r="I458" i="17" s="1"/>
  <c r="I467" i="17" s="1"/>
  <c r="G367" i="17"/>
  <c r="G377" i="17"/>
  <c r="G386" i="17" s="1"/>
  <c r="G395" i="17" s="1"/>
  <c r="G404" i="17" s="1"/>
  <c r="G413" i="17" s="1"/>
  <c r="G422" i="17" s="1"/>
  <c r="G431" i="17" s="1"/>
  <c r="G440" i="17" s="1"/>
  <c r="G449" i="17" s="1"/>
  <c r="G458" i="17" s="1"/>
  <c r="G467" i="17" s="1"/>
  <c r="I369" i="17"/>
  <c r="I379" i="17"/>
  <c r="I388" i="17" s="1"/>
  <c r="I397" i="17" s="1"/>
  <c r="I406" i="17" s="1"/>
  <c r="I415" i="17" s="1"/>
  <c r="I424" i="17" s="1"/>
  <c r="I433" i="17" s="1"/>
  <c r="I442" i="17" s="1"/>
  <c r="I451" i="17" s="1"/>
  <c r="I460" i="17" s="1"/>
  <c r="I469" i="17" s="1"/>
  <c r="I360" i="17"/>
  <c r="I368" i="17"/>
  <c r="G350" i="17"/>
  <c r="G359" i="17"/>
  <c r="I350" i="17"/>
  <c r="I359" i="17"/>
  <c r="I352" i="17"/>
  <c r="I361" i="17"/>
  <c r="G352" i="17"/>
  <c r="G361" i="17"/>
  <c r="G351" i="17"/>
  <c r="G360" i="17"/>
  <c r="I324" i="17"/>
  <c r="I333" i="17" s="1"/>
  <c r="I342" i="17" s="1"/>
  <c r="I351" i="17"/>
  <c r="G315" i="17"/>
  <c r="G324" i="17"/>
  <c r="G333" i="17" s="1"/>
  <c r="G342" i="17" s="1"/>
  <c r="I314" i="17"/>
  <c r="I323" i="17"/>
  <c r="I332" i="17" s="1"/>
  <c r="I341" i="17" s="1"/>
  <c r="I316" i="17"/>
  <c r="I325" i="17"/>
  <c r="I334" i="17" s="1"/>
  <c r="I343" i="17" s="1"/>
  <c r="G323" i="17"/>
  <c r="G332" i="17" s="1"/>
  <c r="G341" i="17" s="1"/>
  <c r="G314" i="17"/>
  <c r="G325" i="17"/>
  <c r="G334" i="17" s="1"/>
  <c r="G343" i="17" s="1"/>
  <c r="G316" i="17"/>
  <c r="I306" i="17"/>
  <c r="I315" i="17"/>
  <c r="G306" i="17"/>
  <c r="G298" i="17"/>
  <c r="G307" i="17"/>
  <c r="G296" i="17"/>
  <c r="G305" i="17"/>
  <c r="I296" i="17"/>
  <c r="I305" i="17"/>
  <c r="I298" i="17"/>
  <c r="I307" i="17"/>
  <c r="G270" i="17"/>
  <c r="G297" i="17"/>
  <c r="I270" i="17"/>
  <c r="I297" i="17"/>
  <c r="G271" i="17"/>
  <c r="I269" i="17"/>
  <c r="I271" i="17"/>
  <c r="G269" i="17"/>
  <c r="I247" i="17"/>
  <c r="I256" i="17" s="1"/>
  <c r="I265" i="17" s="1"/>
  <c r="I261" i="17"/>
  <c r="G247" i="17"/>
  <c r="G256" i="17" s="1"/>
  <c r="G265" i="17" s="1"/>
  <c r="G261" i="17"/>
  <c r="G248" i="17"/>
  <c r="G257" i="17" s="1"/>
  <c r="G266" i="17" s="1"/>
  <c r="G284" i="17" s="1"/>
  <c r="G293" i="17" s="1"/>
  <c r="G302" i="17" s="1"/>
  <c r="G311" i="17" s="1"/>
  <c r="G320" i="17" s="1"/>
  <c r="G329" i="17" s="1"/>
  <c r="G338" i="17" s="1"/>
  <c r="G347" i="17" s="1"/>
  <c r="G356" i="17" s="1"/>
  <c r="G365" i="17" s="1"/>
  <c r="G374" i="17" s="1"/>
  <c r="G383" i="17" s="1"/>
  <c r="G392" i="17" s="1"/>
  <c r="G401" i="17" s="1"/>
  <c r="G410" i="17" s="1"/>
  <c r="G419" i="17" s="1"/>
  <c r="G428" i="17" s="1"/>
  <c r="G437" i="17" s="1"/>
  <c r="G446" i="17" s="1"/>
  <c r="G455" i="17" s="1"/>
  <c r="G464" i="17" s="1"/>
  <c r="G473" i="17" s="1"/>
  <c r="G482" i="17" s="1"/>
  <c r="G491" i="17" s="1"/>
  <c r="G262" i="17"/>
  <c r="I246" i="17"/>
  <c r="I255" i="17" s="1"/>
  <c r="I264" i="17" s="1"/>
  <c r="I282" i="17" s="1"/>
  <c r="I291" i="17" s="1"/>
  <c r="I300" i="17" s="1"/>
  <c r="I309" i="17" s="1"/>
  <c r="I318" i="17" s="1"/>
  <c r="I327" i="17" s="1"/>
  <c r="I336" i="17" s="1"/>
  <c r="I345" i="17" s="1"/>
  <c r="I354" i="17" s="1"/>
  <c r="I363" i="17" s="1"/>
  <c r="I372" i="17" s="1"/>
  <c r="I381" i="17" s="1"/>
  <c r="I390" i="17" s="1"/>
  <c r="I399" i="17" s="1"/>
  <c r="I408" i="17" s="1"/>
  <c r="I417" i="17" s="1"/>
  <c r="I426" i="17" s="1"/>
  <c r="I435" i="17" s="1"/>
  <c r="I444" i="17" s="1"/>
  <c r="I453" i="17" s="1"/>
  <c r="I462" i="17" s="1"/>
  <c r="I471" i="17" s="1"/>
  <c r="I480" i="17" s="1"/>
  <c r="I489" i="17" s="1"/>
  <c r="I260" i="17"/>
  <c r="G246" i="17"/>
  <c r="G255" i="17" s="1"/>
  <c r="G264" i="17" s="1"/>
  <c r="G282" i="17" s="1"/>
  <c r="G291" i="17" s="1"/>
  <c r="G300" i="17" s="1"/>
  <c r="G309" i="17" s="1"/>
  <c r="G318" i="17" s="1"/>
  <c r="G327" i="17" s="1"/>
  <c r="G336" i="17" s="1"/>
  <c r="G345" i="17" s="1"/>
  <c r="G354" i="17" s="1"/>
  <c r="G363" i="17" s="1"/>
  <c r="G372" i="17" s="1"/>
  <c r="G381" i="17" s="1"/>
  <c r="G390" i="17" s="1"/>
  <c r="G399" i="17" s="1"/>
  <c r="G408" i="17" s="1"/>
  <c r="G417" i="17" s="1"/>
  <c r="G426" i="17" s="1"/>
  <c r="G435" i="17" s="1"/>
  <c r="G444" i="17" s="1"/>
  <c r="G453" i="17" s="1"/>
  <c r="G462" i="17" s="1"/>
  <c r="G471" i="17" s="1"/>
  <c r="G480" i="17" s="1"/>
  <c r="G489" i="17" s="1"/>
  <c r="G260" i="17"/>
  <c r="I248" i="17"/>
  <c r="I257" i="17" s="1"/>
  <c r="I266" i="17" s="1"/>
  <c r="I284" i="17" s="1"/>
  <c r="I293" i="17" s="1"/>
  <c r="I302" i="17" s="1"/>
  <c r="I311" i="17" s="1"/>
  <c r="I320" i="17" s="1"/>
  <c r="I329" i="17" s="1"/>
  <c r="I338" i="17" s="1"/>
  <c r="I347" i="17" s="1"/>
  <c r="I356" i="17" s="1"/>
  <c r="I365" i="17" s="1"/>
  <c r="I374" i="17" s="1"/>
  <c r="I383" i="17" s="1"/>
  <c r="I392" i="17" s="1"/>
  <c r="I401" i="17" s="1"/>
  <c r="I410" i="17" s="1"/>
  <c r="I419" i="17" s="1"/>
  <c r="I428" i="17" s="1"/>
  <c r="I437" i="17" s="1"/>
  <c r="I446" i="17" s="1"/>
  <c r="I455" i="17" s="1"/>
  <c r="I464" i="17" s="1"/>
  <c r="I473" i="17" s="1"/>
  <c r="I482" i="17" s="1"/>
  <c r="I491" i="17" s="1"/>
  <c r="I262" i="17"/>
  <c r="J152" i="17"/>
  <c r="J154" i="17"/>
  <c r="J153" i="17"/>
  <c r="J156" i="17"/>
  <c r="J151" i="17"/>
  <c r="J155" i="17"/>
  <c r="Q113" i="17"/>
  <c r="Q193" i="17"/>
  <c r="Q114" i="17"/>
  <c r="Q112" i="17"/>
  <c r="G19" i="17"/>
  <c r="G35" i="17" s="1"/>
  <c r="G20" i="17"/>
  <c r="G36" i="17" s="1"/>
  <c r="G16" i="17"/>
  <c r="G32" i="17" s="1"/>
  <c r="G17" i="17"/>
  <c r="G33" i="17" s="1"/>
  <c r="H17" i="17"/>
  <c r="H33" i="17" s="1"/>
  <c r="H20" i="17"/>
  <c r="H36" i="17" s="1"/>
  <c r="H44" i="17"/>
  <c r="H23" i="17"/>
  <c r="H39" i="17" s="1"/>
  <c r="H116" i="17"/>
  <c r="H123" i="17" s="1"/>
  <c r="H46" i="17"/>
  <c r="H21" i="17"/>
  <c r="H37" i="17" s="1"/>
  <c r="H16" i="17"/>
  <c r="H32" i="17" s="1"/>
  <c r="H18" i="17"/>
  <c r="H34" i="17" s="1"/>
  <c r="H15" i="17"/>
  <c r="H31" i="17" s="1"/>
  <c r="H45" i="17"/>
  <c r="H42" i="17"/>
  <c r="H22" i="17"/>
  <c r="H38" i="17" s="1"/>
  <c r="H19" i="17"/>
  <c r="H35" i="17" s="1"/>
  <c r="Q205" i="17"/>
  <c r="Q55" i="17"/>
  <c r="Q56" i="17"/>
  <c r="Q54" i="17"/>
  <c r="G23" i="17"/>
  <c r="G39" i="17" s="1"/>
  <c r="G21" i="17"/>
  <c r="G37" i="17" s="1"/>
  <c r="G41" i="17"/>
  <c r="J502" i="17"/>
  <c r="J514" i="17" s="1"/>
  <c r="J523" i="17" s="1"/>
  <c r="J532" i="17" s="1"/>
  <c r="J541" i="17" s="1"/>
  <c r="J503" i="17"/>
  <c r="J515" i="17" s="1"/>
  <c r="J524" i="17" s="1"/>
  <c r="J533" i="17" s="1"/>
  <c r="J542" i="17" s="1"/>
  <c r="G498" i="17"/>
  <c r="G510" i="17" s="1"/>
  <c r="G519" i="17" s="1"/>
  <c r="G528" i="17" s="1"/>
  <c r="G537" i="17" s="1"/>
  <c r="G501" i="17"/>
  <c r="G513" i="17" s="1"/>
  <c r="G522" i="17" s="1"/>
  <c r="G531" i="17" s="1"/>
  <c r="G540" i="17" s="1"/>
  <c r="H502" i="17"/>
  <c r="H514" i="17" s="1"/>
  <c r="H523" i="17" s="1"/>
  <c r="H532" i="17" s="1"/>
  <c r="H541" i="17" s="1"/>
  <c r="H503" i="17"/>
  <c r="H515" i="17" s="1"/>
  <c r="H524" i="17" s="1"/>
  <c r="H533" i="17" s="1"/>
  <c r="H542" i="17" s="1"/>
  <c r="I498" i="17"/>
  <c r="I501" i="17"/>
  <c r="I513" i="17" s="1"/>
  <c r="I522" i="17" s="1"/>
  <c r="I531" i="17" s="1"/>
  <c r="I540" i="17" s="1"/>
  <c r="J234" i="17"/>
  <c r="J232" i="17"/>
  <c r="J233" i="17"/>
  <c r="H234" i="17"/>
  <c r="H280" i="17" s="1"/>
  <c r="H289" i="17" s="1"/>
  <c r="H232" i="17"/>
  <c r="H233" i="17"/>
  <c r="H223" i="17"/>
  <c r="H225" i="17"/>
  <c r="H227" i="17" s="1"/>
  <c r="H222" i="17"/>
  <c r="H226" i="17" s="1"/>
  <c r="G223" i="17"/>
  <c r="G225" i="17"/>
  <c r="G222" i="17"/>
  <c r="G226" i="17" s="1"/>
  <c r="H211" i="17"/>
  <c r="H216" i="17" s="1"/>
  <c r="H213" i="17"/>
  <c r="H214" i="17" s="1"/>
  <c r="G211" i="17"/>
  <c r="G216" i="17" s="1"/>
  <c r="G213" i="17"/>
  <c r="I211" i="17"/>
  <c r="I216" i="17" s="1"/>
  <c r="I213" i="17"/>
  <c r="I214" i="17" s="1"/>
  <c r="J211" i="17"/>
  <c r="J216" i="17" s="1"/>
  <c r="J213" i="17"/>
  <c r="J214" i="17" s="1"/>
  <c r="H210" i="17"/>
  <c r="H215" i="17" s="1"/>
  <c r="H209" i="17"/>
  <c r="G210" i="17"/>
  <c r="G215" i="17" s="1"/>
  <c r="G209" i="17"/>
  <c r="I210" i="17"/>
  <c r="I215" i="17" s="1"/>
  <c r="I209" i="17"/>
  <c r="J210" i="17"/>
  <c r="J215" i="17" s="1"/>
  <c r="J209" i="17"/>
  <c r="H161" i="17"/>
  <c r="H157" i="17"/>
  <c r="H180" i="17" s="1"/>
  <c r="H163" i="17"/>
  <c r="H159" i="17"/>
  <c r="H182" i="17" s="1"/>
  <c r="H162" i="17"/>
  <c r="H158" i="17"/>
  <c r="H181" i="17" s="1"/>
  <c r="H151" i="17"/>
  <c r="H154" i="17"/>
  <c r="H153" i="17"/>
  <c r="H156" i="17"/>
  <c r="H152" i="17"/>
  <c r="H155" i="17"/>
  <c r="I152" i="17"/>
  <c r="I155" i="17"/>
  <c r="I156" i="17"/>
  <c r="I153" i="17"/>
  <c r="I151" i="17"/>
  <c r="I154" i="17"/>
  <c r="H117" i="17"/>
  <c r="H124" i="17" s="1"/>
  <c r="H128" i="17"/>
  <c r="H115" i="17"/>
  <c r="H122" i="17" s="1"/>
  <c r="H126" i="17"/>
  <c r="G116" i="17"/>
  <c r="G123" i="17" s="1"/>
  <c r="G127" i="17"/>
  <c r="G117" i="17"/>
  <c r="G124" i="17" s="1"/>
  <c r="G115" i="17"/>
  <c r="G122" i="17" s="1"/>
  <c r="I115" i="17"/>
  <c r="I122" i="17" s="1"/>
  <c r="J79" i="17"/>
  <c r="J82" i="17" s="1"/>
  <c r="J86" i="17"/>
  <c r="J89" i="17" s="1"/>
  <c r="I80" i="17"/>
  <c r="I83" i="17" s="1"/>
  <c r="I87" i="17"/>
  <c r="I90" i="17" s="1"/>
  <c r="H78" i="17"/>
  <c r="H81" i="17" s="1"/>
  <c r="H85" i="17"/>
  <c r="H88" i="17" s="1"/>
  <c r="H80" i="17"/>
  <c r="H83" i="17" s="1"/>
  <c r="H87" i="17"/>
  <c r="H90" i="17" s="1"/>
  <c r="J80" i="17"/>
  <c r="J83" i="17" s="1"/>
  <c r="J87" i="17"/>
  <c r="J90" i="17" s="1"/>
  <c r="I79" i="17"/>
  <c r="I82" i="17" s="1"/>
  <c r="I86" i="17"/>
  <c r="I89" i="17" s="1"/>
  <c r="H79" i="17"/>
  <c r="H82" i="17" s="1"/>
  <c r="H86" i="17"/>
  <c r="H89" i="17" s="1"/>
  <c r="I76" i="17"/>
  <c r="I66" i="17"/>
  <c r="H74" i="17"/>
  <c r="H64" i="17"/>
  <c r="H76" i="17"/>
  <c r="H66" i="17"/>
  <c r="J66" i="17"/>
  <c r="J76" i="17"/>
  <c r="I75" i="17"/>
  <c r="I65" i="17"/>
  <c r="H65" i="17"/>
  <c r="H75" i="17"/>
  <c r="J75" i="17"/>
  <c r="J65" i="17"/>
  <c r="I21" i="17"/>
  <c r="I37" i="17" s="1"/>
  <c r="I15" i="17"/>
  <c r="I31" i="17" s="1"/>
  <c r="I14" i="17"/>
  <c r="I17" i="17"/>
  <c r="I33" i="17" s="1"/>
  <c r="I23" i="17"/>
  <c r="I39" i="17" s="1"/>
  <c r="Q57" i="17"/>
  <c r="G12" i="17"/>
  <c r="I12" i="17"/>
  <c r="I114" i="17"/>
  <c r="I22" i="26"/>
  <c r="J22" i="26" s="1"/>
  <c r="L5" i="39" s="1"/>
  <c r="I41" i="26"/>
  <c r="J41" i="26" s="1"/>
  <c r="X6" i="39" s="1"/>
  <c r="I113" i="17"/>
  <c r="I120" i="17" s="1"/>
  <c r="I53" i="26"/>
  <c r="J53" i="26" s="1"/>
  <c r="N6" i="39" s="1"/>
  <c r="J113" i="17"/>
  <c r="J114" i="17"/>
  <c r="J112" i="17"/>
  <c r="J52" i="26"/>
  <c r="M6" i="39" s="1"/>
  <c r="I13" i="26"/>
  <c r="J13" i="26" s="1"/>
  <c r="Y5" i="39" s="1"/>
  <c r="J21" i="26"/>
  <c r="K5" i="39" s="1"/>
  <c r="D15" i="26"/>
  <c r="C16" i="26"/>
  <c r="E14" i="26"/>
  <c r="H14" i="26"/>
  <c r="Q736" i="17"/>
  <c r="Q737" i="17"/>
  <c r="Q735" i="17"/>
  <c r="D43" i="26"/>
  <c r="C44" i="26"/>
  <c r="E42" i="26"/>
  <c r="H42" i="26"/>
  <c r="D55" i="26"/>
  <c r="C56" i="26"/>
  <c r="E54" i="26"/>
  <c r="H54" i="26"/>
  <c r="H23" i="26"/>
  <c r="E23" i="26"/>
  <c r="D24" i="26"/>
  <c r="C25" i="26"/>
  <c r="Q155" i="48" l="1"/>
  <c r="Q152" i="48"/>
  <c r="Q162" i="48"/>
  <c r="Q187" i="48"/>
  <c r="Q190" i="48"/>
  <c r="Q151" i="48"/>
  <c r="Q161" i="48"/>
  <c r="Q154" i="48"/>
  <c r="Q185" i="48"/>
  <c r="Q175" i="48"/>
  <c r="Q178" i="48"/>
  <c r="Q194" i="17"/>
  <c r="Q149" i="17" s="1"/>
  <c r="Q176" i="48"/>
  <c r="Q179" i="48"/>
  <c r="Q186" i="48"/>
  <c r="H564" i="48"/>
  <c r="H573" i="48" s="1"/>
  <c r="H582" i="48" s="1"/>
  <c r="H591" i="48" s="1"/>
  <c r="H600" i="48" s="1"/>
  <c r="H609" i="48" s="1"/>
  <c r="H618" i="48" s="1"/>
  <c r="H627" i="48" s="1"/>
  <c r="H636" i="48" s="1"/>
  <c r="H645" i="48" s="1"/>
  <c r="H654" i="48" s="1"/>
  <c r="H663" i="48" s="1"/>
  <c r="H672" i="48" s="1"/>
  <c r="H681" i="48" s="1"/>
  <c r="H690" i="48" s="1"/>
  <c r="H699" i="48" s="1"/>
  <c r="H708" i="48" s="1"/>
  <c r="H717" i="48" s="1"/>
  <c r="H726" i="48" s="1"/>
  <c r="H555" i="48"/>
  <c r="H556" i="48"/>
  <c r="H565" i="48"/>
  <c r="H574" i="48" s="1"/>
  <c r="H583" i="48" s="1"/>
  <c r="H592" i="48" s="1"/>
  <c r="H601" i="48" s="1"/>
  <c r="H610" i="48" s="1"/>
  <c r="H619" i="48" s="1"/>
  <c r="H628" i="48" s="1"/>
  <c r="H637" i="48" s="1"/>
  <c r="H646" i="48" s="1"/>
  <c r="H655" i="48" s="1"/>
  <c r="H664" i="48" s="1"/>
  <c r="H673" i="48" s="1"/>
  <c r="H682" i="48" s="1"/>
  <c r="H691" i="48" s="1"/>
  <c r="H700" i="48" s="1"/>
  <c r="H709" i="48" s="1"/>
  <c r="H718" i="48" s="1"/>
  <c r="H727" i="48" s="1"/>
  <c r="H187" i="48"/>
  <c r="H190" i="48"/>
  <c r="H188" i="48"/>
  <c r="H191" i="48"/>
  <c r="H560" i="48"/>
  <c r="H569" i="48"/>
  <c r="H578" i="48" s="1"/>
  <c r="H587" i="48" s="1"/>
  <c r="H596" i="48" s="1"/>
  <c r="H605" i="48" s="1"/>
  <c r="H614" i="48" s="1"/>
  <c r="H623" i="48" s="1"/>
  <c r="H632" i="48" s="1"/>
  <c r="H641" i="48" s="1"/>
  <c r="H650" i="48" s="1"/>
  <c r="H659" i="48" s="1"/>
  <c r="H668" i="48" s="1"/>
  <c r="H677" i="48" s="1"/>
  <c r="H686" i="48" s="1"/>
  <c r="H695" i="48" s="1"/>
  <c r="H704" i="48" s="1"/>
  <c r="H713" i="48" s="1"/>
  <c r="H722" i="48" s="1"/>
  <c r="H731" i="48" s="1"/>
  <c r="H558" i="48"/>
  <c r="H567" i="48"/>
  <c r="H576" i="48" s="1"/>
  <c r="H585" i="48" s="1"/>
  <c r="H594" i="48" s="1"/>
  <c r="H603" i="48" s="1"/>
  <c r="H612" i="48" s="1"/>
  <c r="H621" i="48" s="1"/>
  <c r="H630" i="48" s="1"/>
  <c r="H639" i="48" s="1"/>
  <c r="H648" i="48" s="1"/>
  <c r="H657" i="48" s="1"/>
  <c r="H666" i="48" s="1"/>
  <c r="H675" i="48" s="1"/>
  <c r="H684" i="48" s="1"/>
  <c r="H693" i="48" s="1"/>
  <c r="H702" i="48" s="1"/>
  <c r="H711" i="48" s="1"/>
  <c r="H720" i="48" s="1"/>
  <c r="H729" i="48" s="1"/>
  <c r="H192" i="48"/>
  <c r="H189" i="48"/>
  <c r="H559" i="48"/>
  <c r="H568" i="48"/>
  <c r="H577" i="48" s="1"/>
  <c r="H586" i="48" s="1"/>
  <c r="H595" i="48" s="1"/>
  <c r="H604" i="48" s="1"/>
  <c r="H613" i="48" s="1"/>
  <c r="H622" i="48" s="1"/>
  <c r="H631" i="48" s="1"/>
  <c r="H640" i="48" s="1"/>
  <c r="H649" i="48" s="1"/>
  <c r="H658" i="48" s="1"/>
  <c r="H667" i="48" s="1"/>
  <c r="H676" i="48" s="1"/>
  <c r="H685" i="48" s="1"/>
  <c r="H694" i="48" s="1"/>
  <c r="H703" i="48" s="1"/>
  <c r="H712" i="48" s="1"/>
  <c r="H721" i="48" s="1"/>
  <c r="H730" i="48" s="1"/>
  <c r="J169" i="17"/>
  <c r="K175" i="48"/>
  <c r="L175" i="48" s="1"/>
  <c r="M175" i="48" s="1"/>
  <c r="K177" i="48"/>
  <c r="L177" i="48" s="1"/>
  <c r="M177" i="48" s="1"/>
  <c r="K178" i="48"/>
  <c r="N178" i="48" s="1"/>
  <c r="O178" i="48" s="1"/>
  <c r="P178" i="48" s="1"/>
  <c r="K121" i="48"/>
  <c r="L121" i="48" s="1"/>
  <c r="M121" i="48" s="1"/>
  <c r="I192" i="48"/>
  <c r="I189" i="48"/>
  <c r="I130" i="48"/>
  <c r="I137" i="48" s="1"/>
  <c r="I134" i="48"/>
  <c r="I181" i="48"/>
  <c r="K181" i="48" s="1"/>
  <c r="L181" i="48" s="1"/>
  <c r="M181" i="48" s="1"/>
  <c r="I159" i="48"/>
  <c r="I182" i="48" s="1"/>
  <c r="I187" i="48"/>
  <c r="I190" i="48"/>
  <c r="I133" i="48"/>
  <c r="I129" i="48"/>
  <c r="I136" i="48" s="1"/>
  <c r="K28" i="48"/>
  <c r="N28" i="48" s="1"/>
  <c r="O28" i="48" s="1"/>
  <c r="P28" i="48" s="1"/>
  <c r="K174" i="48"/>
  <c r="L174" i="48" s="1"/>
  <c r="M174" i="48" s="1"/>
  <c r="I135" i="48"/>
  <c r="I131" i="48"/>
  <c r="I138" i="48" s="1"/>
  <c r="I188" i="48"/>
  <c r="I191" i="48"/>
  <c r="G43" i="17"/>
  <c r="K16" i="48"/>
  <c r="N16" i="48" s="1"/>
  <c r="O16" i="48" s="1"/>
  <c r="P16" i="48" s="1"/>
  <c r="G13" i="17"/>
  <c r="K20" i="48"/>
  <c r="L20" i="48" s="1"/>
  <c r="M20" i="48" s="1"/>
  <c r="G42" i="17"/>
  <c r="L74" i="48"/>
  <c r="M74" i="48" s="1"/>
  <c r="K29" i="48"/>
  <c r="N29" i="48" s="1"/>
  <c r="O29" i="48" s="1"/>
  <c r="P29" i="48" s="1"/>
  <c r="L66" i="48"/>
  <c r="M66" i="48" s="1"/>
  <c r="K120" i="48"/>
  <c r="N120" i="48" s="1"/>
  <c r="O120" i="48" s="1"/>
  <c r="P120" i="48" s="1"/>
  <c r="K100" i="48"/>
  <c r="L100" i="48" s="1"/>
  <c r="M100" i="48" s="1"/>
  <c r="K101" i="48"/>
  <c r="L101" i="48" s="1"/>
  <c r="M101" i="48" s="1"/>
  <c r="G515" i="48"/>
  <c r="K503" i="48"/>
  <c r="G511" i="48"/>
  <c r="K499" i="48"/>
  <c r="N68" i="48"/>
  <c r="O68" i="48" s="1"/>
  <c r="P68" i="48" s="1"/>
  <c r="L68" i="48"/>
  <c r="M68" i="48" s="1"/>
  <c r="N64" i="48"/>
  <c r="L64" i="48"/>
  <c r="M64" i="48" s="1"/>
  <c r="L80" i="48"/>
  <c r="M80" i="48" s="1"/>
  <c r="N80" i="48"/>
  <c r="O80" i="48" s="1"/>
  <c r="P80" i="48" s="1"/>
  <c r="L222" i="48"/>
  <c r="M222" i="48" s="1"/>
  <c r="N222" i="48"/>
  <c r="O222" i="48" s="1"/>
  <c r="P222" i="48" s="1"/>
  <c r="L87" i="48"/>
  <c r="M87" i="48" s="1"/>
  <c r="N87" i="48"/>
  <c r="O87" i="48" s="1"/>
  <c r="P87" i="48" s="1"/>
  <c r="G104" i="48"/>
  <c r="K104" i="48" s="1"/>
  <c r="K97" i="48"/>
  <c r="G188" i="17"/>
  <c r="G191" i="17"/>
  <c r="L501" i="48"/>
  <c r="M501" i="48" s="1"/>
  <c r="N501" i="48"/>
  <c r="N171" i="48"/>
  <c r="O171" i="48" s="1"/>
  <c r="P171" i="48" s="1"/>
  <c r="L171" i="48"/>
  <c r="M171" i="48" s="1"/>
  <c r="L498" i="48"/>
  <c r="M498" i="48" s="1"/>
  <c r="N498" i="48"/>
  <c r="O498" i="48" s="1"/>
  <c r="P498" i="48" s="1"/>
  <c r="N172" i="48"/>
  <c r="O172" i="48" s="1"/>
  <c r="P172" i="48" s="1"/>
  <c r="L172" i="48"/>
  <c r="M172" i="48" s="1"/>
  <c r="N114" i="48"/>
  <c r="L114" i="48"/>
  <c r="M114" i="48" s="1"/>
  <c r="N83" i="48"/>
  <c r="L83" i="48"/>
  <c r="M83" i="48" s="1"/>
  <c r="N226" i="48"/>
  <c r="O226" i="48" s="1"/>
  <c r="P226" i="48" s="1"/>
  <c r="L226" i="48"/>
  <c r="M226" i="48" s="1"/>
  <c r="L90" i="48"/>
  <c r="M90" i="48" s="1"/>
  <c r="N90" i="48"/>
  <c r="O90" i="48" s="1"/>
  <c r="P90" i="48" s="1"/>
  <c r="N25" i="48"/>
  <c r="L25" i="48"/>
  <c r="M25" i="48" s="1"/>
  <c r="G190" i="48"/>
  <c r="G187" i="48"/>
  <c r="K184" i="48"/>
  <c r="L18" i="48"/>
  <c r="M18" i="48" s="1"/>
  <c r="N18" i="48"/>
  <c r="O18" i="48" s="1"/>
  <c r="P18" i="48" s="1"/>
  <c r="G188" i="48"/>
  <c r="G191" i="48"/>
  <c r="K185" i="48"/>
  <c r="L95" i="48"/>
  <c r="M95" i="48" s="1"/>
  <c r="N95" i="48"/>
  <c r="O95" i="48" s="1"/>
  <c r="P95" i="48" s="1"/>
  <c r="J191" i="48"/>
  <c r="J188" i="48"/>
  <c r="L26" i="48"/>
  <c r="M26" i="48" s="1"/>
  <c r="N26" i="48"/>
  <c r="O26" i="48" s="1"/>
  <c r="P26" i="48" s="1"/>
  <c r="N158" i="48"/>
  <c r="L158" i="48"/>
  <c r="M158" i="48" s="1"/>
  <c r="G33" i="48"/>
  <c r="K33" i="48" s="1"/>
  <c r="K17" i="48"/>
  <c r="N94" i="48"/>
  <c r="O94" i="48" s="1"/>
  <c r="P94" i="48" s="1"/>
  <c r="L94" i="48"/>
  <c r="M94" i="48" s="1"/>
  <c r="L75" i="48"/>
  <c r="M75" i="48" s="1"/>
  <c r="N75" i="48"/>
  <c r="N9" i="48"/>
  <c r="O9" i="48" s="1"/>
  <c r="P9" i="48" s="1"/>
  <c r="L9" i="48"/>
  <c r="L12" i="48" s="1"/>
  <c r="K12" i="48"/>
  <c r="N12" i="48" s="1"/>
  <c r="N34" i="48"/>
  <c r="O34" i="48" s="1"/>
  <c r="P34" i="48" s="1"/>
  <c r="L34" i="48"/>
  <c r="M34" i="48" s="1"/>
  <c r="L509" i="48"/>
  <c r="M509" i="48" s="1"/>
  <c r="N509" i="48"/>
  <c r="O509" i="48" s="1"/>
  <c r="P509" i="48" s="1"/>
  <c r="G105" i="48"/>
  <c r="K105" i="48" s="1"/>
  <c r="K98" i="48"/>
  <c r="K117" i="48"/>
  <c r="G124" i="48"/>
  <c r="K124" i="48" s="1"/>
  <c r="L32" i="48"/>
  <c r="M32" i="48" s="1"/>
  <c r="N32" i="48"/>
  <c r="O157" i="48"/>
  <c r="P157" i="48" s="1"/>
  <c r="G189" i="17"/>
  <c r="G192" i="17"/>
  <c r="G44" i="48"/>
  <c r="K44" i="48" s="1"/>
  <c r="K41" i="48"/>
  <c r="K518" i="48"/>
  <c r="G527" i="48"/>
  <c r="K102" i="48"/>
  <c r="G135" i="48"/>
  <c r="G131" i="48"/>
  <c r="K128" i="48"/>
  <c r="N76" i="48"/>
  <c r="O76" i="48" s="1"/>
  <c r="P76" i="48" s="1"/>
  <c r="L76" i="48"/>
  <c r="M76" i="48" s="1"/>
  <c r="L227" i="48"/>
  <c r="M227" i="48" s="1"/>
  <c r="N227" i="48"/>
  <c r="O227" i="48" s="1"/>
  <c r="P227" i="48" s="1"/>
  <c r="G52" i="48"/>
  <c r="K52" i="48" s="1"/>
  <c r="K49" i="48"/>
  <c r="G182" i="48"/>
  <c r="N112" i="48"/>
  <c r="O112" i="48" s="1"/>
  <c r="P112" i="48" s="1"/>
  <c r="L112" i="48"/>
  <c r="M112" i="48" s="1"/>
  <c r="G307" i="48"/>
  <c r="K307" i="48" s="1"/>
  <c r="G298" i="48"/>
  <c r="K298" i="48" s="1"/>
  <c r="G352" i="48"/>
  <c r="K352" i="48" s="1"/>
  <c r="G316" i="48"/>
  <c r="K316" i="48" s="1"/>
  <c r="G325" i="48"/>
  <c r="G280" i="48"/>
  <c r="G238" i="48"/>
  <c r="K238" i="48" s="1"/>
  <c r="G262" i="48"/>
  <c r="K262" i="48" s="1"/>
  <c r="G248" i="48"/>
  <c r="G244" i="48"/>
  <c r="K244" i="48" s="1"/>
  <c r="G271" i="48"/>
  <c r="K271" i="48" s="1"/>
  <c r="G379" i="48"/>
  <c r="G369" i="48"/>
  <c r="K369" i="48" s="1"/>
  <c r="G361" i="48"/>
  <c r="K361" i="48" s="1"/>
  <c r="G253" i="48"/>
  <c r="K253" i="48" s="1"/>
  <c r="K234" i="48"/>
  <c r="G154" i="48"/>
  <c r="K154" i="48" s="1"/>
  <c r="G161" i="48"/>
  <c r="G151" i="48"/>
  <c r="K151" i="48" s="1"/>
  <c r="K148" i="48"/>
  <c r="L225" i="48"/>
  <c r="M225" i="48" s="1"/>
  <c r="N225" i="48"/>
  <c r="O225" i="48" s="1"/>
  <c r="P225" i="48" s="1"/>
  <c r="K127" i="48"/>
  <c r="G130" i="48"/>
  <c r="G134" i="48"/>
  <c r="J189" i="48"/>
  <c r="J192" i="48"/>
  <c r="G129" i="48"/>
  <c r="G133" i="48"/>
  <c r="K126" i="48"/>
  <c r="L213" i="48"/>
  <c r="M213" i="48" s="1"/>
  <c r="N213" i="48"/>
  <c r="O213" i="48" s="1"/>
  <c r="P213" i="48" s="1"/>
  <c r="G37" i="48"/>
  <c r="K37" i="48" s="1"/>
  <c r="K21" i="48"/>
  <c r="G350" i="48"/>
  <c r="K350" i="48" s="1"/>
  <c r="G269" i="48"/>
  <c r="K269" i="48" s="1"/>
  <c r="G296" i="48"/>
  <c r="K296" i="48" s="1"/>
  <c r="G242" i="48"/>
  <c r="K242" i="48" s="1"/>
  <c r="G367" i="48"/>
  <c r="K367" i="48" s="1"/>
  <c r="G359" i="48"/>
  <c r="K359" i="48" s="1"/>
  <c r="G246" i="48"/>
  <c r="G278" i="48"/>
  <c r="G251" i="48"/>
  <c r="K251" i="48" s="1"/>
  <c r="G314" i="48"/>
  <c r="K314" i="48" s="1"/>
  <c r="G305" i="48"/>
  <c r="K305" i="48" s="1"/>
  <c r="G236" i="48"/>
  <c r="K236" i="48" s="1"/>
  <c r="G260" i="48"/>
  <c r="K260" i="48" s="1"/>
  <c r="G323" i="48"/>
  <c r="G377" i="48"/>
  <c r="K232" i="48"/>
  <c r="L36" i="48"/>
  <c r="M36" i="48" s="1"/>
  <c r="N36" i="48"/>
  <c r="G103" i="48"/>
  <c r="K103" i="48" s="1"/>
  <c r="K96" i="48"/>
  <c r="G22" i="48"/>
  <c r="G42" i="48"/>
  <c r="G13" i="48"/>
  <c r="K10" i="48"/>
  <c r="K119" i="48"/>
  <c r="N214" i="48"/>
  <c r="O214" i="48" s="1"/>
  <c r="P214" i="48" s="1"/>
  <c r="L214" i="48"/>
  <c r="M214" i="48" s="1"/>
  <c r="L15" i="48"/>
  <c r="M15" i="48" s="1"/>
  <c r="N15" i="48"/>
  <c r="O15" i="48" s="1"/>
  <c r="P15" i="48" s="1"/>
  <c r="N210" i="48"/>
  <c r="L210" i="48"/>
  <c r="M210" i="48" s="1"/>
  <c r="G297" i="48"/>
  <c r="K297" i="48" s="1"/>
  <c r="G324" i="48"/>
  <c r="G351" i="48"/>
  <c r="K351" i="48" s="1"/>
  <c r="G306" i="48"/>
  <c r="K306" i="48" s="1"/>
  <c r="G315" i="48"/>
  <c r="K315" i="48" s="1"/>
  <c r="G237" i="48"/>
  <c r="K237" i="48" s="1"/>
  <c r="G261" i="48"/>
  <c r="K261" i="48" s="1"/>
  <c r="G270" i="48"/>
  <c r="K270" i="48" s="1"/>
  <c r="G360" i="48"/>
  <c r="K360" i="48" s="1"/>
  <c r="G247" i="48"/>
  <c r="G378" i="48"/>
  <c r="G368" i="48"/>
  <c r="K368" i="48" s="1"/>
  <c r="G252" i="48"/>
  <c r="K252" i="48" s="1"/>
  <c r="G243" i="48"/>
  <c r="K243" i="48" s="1"/>
  <c r="G279" i="48"/>
  <c r="K233" i="48"/>
  <c r="G35" i="48"/>
  <c r="K35" i="48" s="1"/>
  <c r="K19" i="48"/>
  <c r="N93" i="48"/>
  <c r="O93" i="48" s="1"/>
  <c r="P93" i="48" s="1"/>
  <c r="L93" i="48"/>
  <c r="M93" i="48" s="1"/>
  <c r="O221" i="48"/>
  <c r="P221" i="48" s="1"/>
  <c r="N69" i="48"/>
  <c r="L69" i="48"/>
  <c r="M69" i="48" s="1"/>
  <c r="G123" i="48"/>
  <c r="K123" i="48" s="1"/>
  <c r="K116" i="48"/>
  <c r="L86" i="48"/>
  <c r="M86" i="48" s="1"/>
  <c r="N86" i="48"/>
  <c r="O86" i="48" s="1"/>
  <c r="P86" i="48" s="1"/>
  <c r="K115" i="48"/>
  <c r="G122" i="48"/>
  <c r="K122" i="48" s="1"/>
  <c r="N215" i="48"/>
  <c r="O215" i="48" s="1"/>
  <c r="P215" i="48" s="1"/>
  <c r="L215" i="48"/>
  <c r="M215" i="48" s="1"/>
  <c r="J135" i="48"/>
  <c r="J131" i="48"/>
  <c r="J138" i="48" s="1"/>
  <c r="L70" i="48"/>
  <c r="M70" i="48" s="1"/>
  <c r="N70" i="48"/>
  <c r="N72" i="48"/>
  <c r="O72" i="48" s="1"/>
  <c r="P72" i="48" s="1"/>
  <c r="L72" i="48"/>
  <c r="M72" i="48" s="1"/>
  <c r="L113" i="48"/>
  <c r="M113" i="48" s="1"/>
  <c r="N113" i="48"/>
  <c r="O113" i="48" s="1"/>
  <c r="P113" i="48" s="1"/>
  <c r="N89" i="48"/>
  <c r="O89" i="48" s="1"/>
  <c r="P89" i="48" s="1"/>
  <c r="L89" i="48"/>
  <c r="M89" i="48" s="1"/>
  <c r="N79" i="48"/>
  <c r="O79" i="48" s="1"/>
  <c r="P79" i="48" s="1"/>
  <c r="L79" i="48"/>
  <c r="M79" i="48" s="1"/>
  <c r="G162" i="48"/>
  <c r="G155" i="48"/>
  <c r="K155" i="48" s="1"/>
  <c r="G152" i="48"/>
  <c r="K152" i="48" s="1"/>
  <c r="K149" i="48"/>
  <c r="N173" i="48"/>
  <c r="L173" i="48"/>
  <c r="M173" i="48" s="1"/>
  <c r="N31" i="48"/>
  <c r="O31" i="48" s="1"/>
  <c r="P31" i="48" s="1"/>
  <c r="L31" i="48"/>
  <c r="M31" i="48" s="1"/>
  <c r="N85" i="48"/>
  <c r="L85" i="48"/>
  <c r="M85" i="48" s="1"/>
  <c r="N211" i="48"/>
  <c r="O211" i="48" s="1"/>
  <c r="P211" i="48" s="1"/>
  <c r="L211" i="48"/>
  <c r="M211" i="48" s="1"/>
  <c r="L73" i="48"/>
  <c r="M73" i="48" s="1"/>
  <c r="N73" i="48"/>
  <c r="O74" i="48"/>
  <c r="P74" i="48" s="1"/>
  <c r="L78" i="48"/>
  <c r="M78" i="48" s="1"/>
  <c r="N78" i="48"/>
  <c r="O78" i="48" s="1"/>
  <c r="P78" i="48" s="1"/>
  <c r="N27" i="48"/>
  <c r="L27" i="48"/>
  <c r="M27" i="48" s="1"/>
  <c r="N180" i="48"/>
  <c r="O180" i="48" s="1"/>
  <c r="P180" i="48" s="1"/>
  <c r="L180" i="48"/>
  <c r="M180" i="48" s="1"/>
  <c r="O56" i="48"/>
  <c r="P56" i="48" s="1"/>
  <c r="N82" i="48"/>
  <c r="O82" i="48" s="1"/>
  <c r="P82" i="48" s="1"/>
  <c r="L82" i="48"/>
  <c r="M82" i="48" s="1"/>
  <c r="K176" i="48"/>
  <c r="G522" i="48"/>
  <c r="K513" i="48"/>
  <c r="J130" i="48"/>
  <c r="J137" i="48" s="1"/>
  <c r="J134" i="48"/>
  <c r="L88" i="48"/>
  <c r="M88" i="48" s="1"/>
  <c r="N88" i="48"/>
  <c r="O88" i="48" s="1"/>
  <c r="P88" i="48" s="1"/>
  <c r="L216" i="48"/>
  <c r="M216" i="48" s="1"/>
  <c r="N216" i="48"/>
  <c r="G190" i="17"/>
  <c r="G187" i="17"/>
  <c r="G23" i="48"/>
  <c r="G14" i="48"/>
  <c r="G43" i="48"/>
  <c r="K11" i="48"/>
  <c r="L81" i="48"/>
  <c r="M81" i="48" s="1"/>
  <c r="N81" i="48"/>
  <c r="O81" i="48" s="1"/>
  <c r="P81" i="48" s="1"/>
  <c r="L65" i="48"/>
  <c r="M65" i="48" s="1"/>
  <c r="N65" i="48"/>
  <c r="K30" i="48"/>
  <c r="K48" i="48"/>
  <c r="J187" i="48"/>
  <c r="J190" i="48"/>
  <c r="K179" i="48"/>
  <c r="J133" i="48"/>
  <c r="J129" i="48"/>
  <c r="J136" i="48" s="1"/>
  <c r="K502" i="48"/>
  <c r="G514" i="48"/>
  <c r="G519" i="48"/>
  <c r="K510" i="48"/>
  <c r="N71" i="48"/>
  <c r="L71" i="48"/>
  <c r="M71" i="48" s="1"/>
  <c r="G53" i="48"/>
  <c r="K53" i="48" s="1"/>
  <c r="K50" i="48"/>
  <c r="G156" i="48"/>
  <c r="K156" i="48" s="1"/>
  <c r="G163" i="48"/>
  <c r="G153" i="48"/>
  <c r="K153" i="48" s="1"/>
  <c r="K150" i="48"/>
  <c r="K51" i="48"/>
  <c r="G189" i="48"/>
  <c r="G192" i="48"/>
  <c r="K192" i="48" s="1"/>
  <c r="K186" i="48"/>
  <c r="H409" i="48"/>
  <c r="H410" i="48"/>
  <c r="H408" i="48"/>
  <c r="I164" i="17"/>
  <c r="I168" i="17"/>
  <c r="G563" i="17"/>
  <c r="G572" i="17" s="1"/>
  <c r="G581" i="17" s="1"/>
  <c r="G590" i="17" s="1"/>
  <c r="G599" i="17" s="1"/>
  <c r="G608" i="17" s="1"/>
  <c r="G617" i="17" s="1"/>
  <c r="G626" i="17" s="1"/>
  <c r="G635" i="17" s="1"/>
  <c r="G644" i="17" s="1"/>
  <c r="G653" i="17" s="1"/>
  <c r="G662" i="17" s="1"/>
  <c r="G554" i="17"/>
  <c r="H558" i="17"/>
  <c r="H567" i="17"/>
  <c r="H576" i="17" s="1"/>
  <c r="H585" i="17" s="1"/>
  <c r="H594" i="17" s="1"/>
  <c r="H603" i="17" s="1"/>
  <c r="H612" i="17" s="1"/>
  <c r="H621" i="17" s="1"/>
  <c r="H630" i="17" s="1"/>
  <c r="H639" i="17" s="1"/>
  <c r="H648" i="17" s="1"/>
  <c r="H657" i="17" s="1"/>
  <c r="H666" i="17" s="1"/>
  <c r="H675" i="17" s="1"/>
  <c r="H684" i="17" s="1"/>
  <c r="H693" i="17" s="1"/>
  <c r="H702" i="17" s="1"/>
  <c r="H711" i="17" s="1"/>
  <c r="H720" i="17" s="1"/>
  <c r="H729" i="17" s="1"/>
  <c r="G549" i="17"/>
  <c r="J551" i="17"/>
  <c r="J560" i="17" s="1"/>
  <c r="J546" i="17"/>
  <c r="J550" i="17"/>
  <c r="J568" i="17" s="1"/>
  <c r="J577" i="17" s="1"/>
  <c r="J586" i="17" s="1"/>
  <c r="J595" i="17" s="1"/>
  <c r="J604" i="17" s="1"/>
  <c r="J613" i="17" s="1"/>
  <c r="J622" i="17" s="1"/>
  <c r="J631" i="17" s="1"/>
  <c r="J640" i="17" s="1"/>
  <c r="J649" i="17" s="1"/>
  <c r="J658" i="17" s="1"/>
  <c r="J667" i="17" s="1"/>
  <c r="J676" i="17" s="1"/>
  <c r="J685" i="17" s="1"/>
  <c r="J694" i="17" s="1"/>
  <c r="J703" i="17" s="1"/>
  <c r="J712" i="17" s="1"/>
  <c r="J721" i="17" s="1"/>
  <c r="J730" i="17" s="1"/>
  <c r="J547" i="17"/>
  <c r="G546" i="17"/>
  <c r="H546" i="17"/>
  <c r="H547" i="17"/>
  <c r="I545" i="17"/>
  <c r="I549" i="17"/>
  <c r="I567" i="17" s="1"/>
  <c r="I576" i="17" s="1"/>
  <c r="I585" i="17" s="1"/>
  <c r="I594" i="17" s="1"/>
  <c r="I603" i="17" s="1"/>
  <c r="I612" i="17" s="1"/>
  <c r="I621" i="17" s="1"/>
  <c r="I630" i="17" s="1"/>
  <c r="I639" i="17" s="1"/>
  <c r="I648" i="17" s="1"/>
  <c r="I657" i="17" s="1"/>
  <c r="I666" i="17" s="1"/>
  <c r="I675" i="17" s="1"/>
  <c r="I684" i="17" s="1"/>
  <c r="I693" i="17" s="1"/>
  <c r="I702" i="17" s="1"/>
  <c r="I711" i="17" s="1"/>
  <c r="I720" i="17" s="1"/>
  <c r="I729" i="17" s="1"/>
  <c r="J567" i="17"/>
  <c r="J576" i="17" s="1"/>
  <c r="J585" i="17" s="1"/>
  <c r="J594" i="17" s="1"/>
  <c r="J603" i="17" s="1"/>
  <c r="J612" i="17" s="1"/>
  <c r="J621" i="17" s="1"/>
  <c r="J630" i="17" s="1"/>
  <c r="J639" i="17" s="1"/>
  <c r="J648" i="17" s="1"/>
  <c r="J657" i="17" s="1"/>
  <c r="J666" i="17" s="1"/>
  <c r="J675" i="17" s="1"/>
  <c r="J684" i="17" s="1"/>
  <c r="J693" i="17" s="1"/>
  <c r="J702" i="17" s="1"/>
  <c r="J711" i="17" s="1"/>
  <c r="J720" i="17" s="1"/>
  <c r="J729" i="17" s="1"/>
  <c r="H551" i="17"/>
  <c r="H550" i="17"/>
  <c r="H568" i="17" s="1"/>
  <c r="H577" i="17" s="1"/>
  <c r="H586" i="17" s="1"/>
  <c r="H595" i="17" s="1"/>
  <c r="H604" i="17" s="1"/>
  <c r="H613" i="17" s="1"/>
  <c r="H622" i="17" s="1"/>
  <c r="H631" i="17" s="1"/>
  <c r="H640" i="17" s="1"/>
  <c r="H649" i="17" s="1"/>
  <c r="H658" i="17" s="1"/>
  <c r="H667" i="17" s="1"/>
  <c r="H676" i="17" s="1"/>
  <c r="H685" i="17" s="1"/>
  <c r="H694" i="17" s="1"/>
  <c r="H703" i="17" s="1"/>
  <c r="H712" i="17" s="1"/>
  <c r="H721" i="17" s="1"/>
  <c r="H730" i="17" s="1"/>
  <c r="G135" i="17"/>
  <c r="I166" i="17"/>
  <c r="H134" i="17"/>
  <c r="I190" i="17"/>
  <c r="I187" i="17"/>
  <c r="I191" i="17"/>
  <c r="I188" i="17"/>
  <c r="J192" i="17"/>
  <c r="J189" i="17"/>
  <c r="I192" i="17"/>
  <c r="I189" i="17"/>
  <c r="J190" i="17"/>
  <c r="J187" i="17"/>
  <c r="J167" i="17"/>
  <c r="J191" i="17"/>
  <c r="J188" i="17"/>
  <c r="Q179" i="17"/>
  <c r="Q186" i="17"/>
  <c r="Q176" i="17"/>
  <c r="Q178" i="17"/>
  <c r="Q185" i="17"/>
  <c r="Q175" i="17"/>
  <c r="J265" i="40"/>
  <c r="Q195" i="48" s="1"/>
  <c r="Q150" i="48" s="1"/>
  <c r="Q177" i="17"/>
  <c r="Q184" i="17"/>
  <c r="Q174" i="17"/>
  <c r="I129" i="17"/>
  <c r="I136" i="17" s="1"/>
  <c r="J168" i="17"/>
  <c r="I177" i="17"/>
  <c r="I174" i="17"/>
  <c r="I175" i="17"/>
  <c r="I178" i="17"/>
  <c r="G159" i="17"/>
  <c r="G182" i="17" s="1"/>
  <c r="G181" i="17"/>
  <c r="I159" i="17"/>
  <c r="I182" i="17" s="1"/>
  <c r="I181" i="17"/>
  <c r="I179" i="17"/>
  <c r="I176" i="17"/>
  <c r="J179" i="17"/>
  <c r="J176" i="17"/>
  <c r="J174" i="17"/>
  <c r="J177" i="17"/>
  <c r="J175" i="17"/>
  <c r="J178" i="17"/>
  <c r="G133" i="17"/>
  <c r="J127" i="17"/>
  <c r="J130" i="17" s="1"/>
  <c r="J137" i="17" s="1"/>
  <c r="J120" i="17"/>
  <c r="I128" i="17"/>
  <c r="I135" i="17" s="1"/>
  <c r="I121" i="17"/>
  <c r="J126" i="17"/>
  <c r="J133" i="17" s="1"/>
  <c r="J119" i="17"/>
  <c r="J128" i="17"/>
  <c r="J135" i="17" s="1"/>
  <c r="J121" i="17"/>
  <c r="I97" i="17"/>
  <c r="I104" i="17" s="1"/>
  <c r="I101" i="17"/>
  <c r="J97" i="17"/>
  <c r="J104" i="17" s="1"/>
  <c r="J101" i="17"/>
  <c r="H98" i="17"/>
  <c r="H105" i="17" s="1"/>
  <c r="H102" i="17"/>
  <c r="I98" i="17"/>
  <c r="I105" i="17" s="1"/>
  <c r="I102" i="17"/>
  <c r="H97" i="17"/>
  <c r="H104" i="17" s="1"/>
  <c r="H101" i="17"/>
  <c r="J98" i="17"/>
  <c r="J105" i="17" s="1"/>
  <c r="J102" i="17"/>
  <c r="H96" i="17"/>
  <c r="H103" i="17" s="1"/>
  <c r="H100" i="17"/>
  <c r="I30" i="17"/>
  <c r="I50" i="17"/>
  <c r="I53" i="17" s="1"/>
  <c r="H29" i="17"/>
  <c r="H49" i="17"/>
  <c r="I28" i="17"/>
  <c r="I48" i="17"/>
  <c r="I51" i="17" s="1"/>
  <c r="H28" i="17"/>
  <c r="H48" i="17"/>
  <c r="H30" i="17"/>
  <c r="H50" i="17"/>
  <c r="G485" i="17"/>
  <c r="G476" i="17"/>
  <c r="I485" i="17"/>
  <c r="I476" i="17"/>
  <c r="G487" i="17"/>
  <c r="G478" i="17"/>
  <c r="G486" i="17"/>
  <c r="G477" i="17"/>
  <c r="I486" i="17"/>
  <c r="I477" i="17"/>
  <c r="I487" i="17"/>
  <c r="I478" i="17"/>
  <c r="J279" i="17"/>
  <c r="J288" i="17" s="1"/>
  <c r="Q9" i="17"/>
  <c r="Q12" i="17" s="1"/>
  <c r="I499" i="17"/>
  <c r="I511" i="17" s="1"/>
  <c r="I520" i="17" s="1"/>
  <c r="I529" i="17" s="1"/>
  <c r="I538" i="17" s="1"/>
  <c r="I510" i="17"/>
  <c r="H252" i="17"/>
  <c r="H279" i="17"/>
  <c r="H288" i="17" s="1"/>
  <c r="H251" i="17"/>
  <c r="H278" i="17"/>
  <c r="H287" i="17" s="1"/>
  <c r="J251" i="17"/>
  <c r="J278" i="17"/>
  <c r="J287" i="17" s="1"/>
  <c r="J253" i="17"/>
  <c r="J280" i="17"/>
  <c r="J289" i="17" s="1"/>
  <c r="H244" i="17"/>
  <c r="H253" i="17"/>
  <c r="J243" i="17"/>
  <c r="J252" i="17"/>
  <c r="H378" i="17"/>
  <c r="H387" i="17" s="1"/>
  <c r="H396" i="17" s="1"/>
  <c r="H405" i="17" s="1"/>
  <c r="H414" i="17" s="1"/>
  <c r="H423" i="17" s="1"/>
  <c r="H432" i="17" s="1"/>
  <c r="H441" i="17" s="1"/>
  <c r="H450" i="17" s="1"/>
  <c r="H459" i="17" s="1"/>
  <c r="H468" i="17" s="1"/>
  <c r="H243" i="17"/>
  <c r="H236" i="17"/>
  <c r="H237" i="17" s="1"/>
  <c r="H242" i="17"/>
  <c r="J236" i="17"/>
  <c r="J242" i="17"/>
  <c r="J238" i="17"/>
  <c r="J244" i="17"/>
  <c r="J378" i="17"/>
  <c r="J387" i="17" s="1"/>
  <c r="J396" i="17" s="1"/>
  <c r="J405" i="17" s="1"/>
  <c r="J414" i="17" s="1"/>
  <c r="J423" i="17" s="1"/>
  <c r="J432" i="17" s="1"/>
  <c r="J441" i="17" s="1"/>
  <c r="J450" i="17" s="1"/>
  <c r="J459" i="17" s="1"/>
  <c r="J468" i="17" s="1"/>
  <c r="J237" i="17"/>
  <c r="J369" i="17"/>
  <c r="J379" i="17"/>
  <c r="J388" i="17" s="1"/>
  <c r="J397" i="17" s="1"/>
  <c r="J406" i="17" s="1"/>
  <c r="J415" i="17" s="1"/>
  <c r="J424" i="17" s="1"/>
  <c r="J433" i="17" s="1"/>
  <c r="J442" i="17" s="1"/>
  <c r="J451" i="17" s="1"/>
  <c r="J460" i="17" s="1"/>
  <c r="J469" i="17" s="1"/>
  <c r="H367" i="17"/>
  <c r="H377" i="17"/>
  <c r="H386" i="17" s="1"/>
  <c r="H395" i="17" s="1"/>
  <c r="H404" i="17" s="1"/>
  <c r="H413" i="17" s="1"/>
  <c r="H422" i="17" s="1"/>
  <c r="H431" i="17" s="1"/>
  <c r="H440" i="17" s="1"/>
  <c r="H449" i="17" s="1"/>
  <c r="H458" i="17" s="1"/>
  <c r="H467" i="17" s="1"/>
  <c r="H369" i="17"/>
  <c r="H379" i="17"/>
  <c r="H388" i="17" s="1"/>
  <c r="H397" i="17" s="1"/>
  <c r="H406" i="17" s="1"/>
  <c r="H415" i="17" s="1"/>
  <c r="H424" i="17" s="1"/>
  <c r="J367" i="17"/>
  <c r="J377" i="17"/>
  <c r="J386" i="17" s="1"/>
  <c r="J395" i="17" s="1"/>
  <c r="J404" i="17" s="1"/>
  <c r="J413" i="17" s="1"/>
  <c r="J422" i="17" s="1"/>
  <c r="J431" i="17" s="1"/>
  <c r="J440" i="17" s="1"/>
  <c r="J449" i="17" s="1"/>
  <c r="J458" i="17" s="1"/>
  <c r="J467" i="17" s="1"/>
  <c r="H360" i="17"/>
  <c r="H368" i="17"/>
  <c r="J360" i="17"/>
  <c r="J368" i="17"/>
  <c r="H350" i="17"/>
  <c r="H359" i="17"/>
  <c r="H352" i="17"/>
  <c r="H361" i="17"/>
  <c r="J350" i="17"/>
  <c r="J359" i="17"/>
  <c r="J352" i="17"/>
  <c r="J361" i="17"/>
  <c r="H324" i="17"/>
  <c r="H333" i="17" s="1"/>
  <c r="H342" i="17" s="1"/>
  <c r="H351" i="17"/>
  <c r="J324" i="17"/>
  <c r="J333" i="17" s="1"/>
  <c r="J342" i="17" s="1"/>
  <c r="J351" i="17"/>
  <c r="J316" i="17"/>
  <c r="J325" i="17"/>
  <c r="J334" i="17" s="1"/>
  <c r="J343" i="17" s="1"/>
  <c r="H314" i="17"/>
  <c r="H323" i="17"/>
  <c r="H332" i="17" s="1"/>
  <c r="H341" i="17" s="1"/>
  <c r="H316" i="17"/>
  <c r="H325" i="17"/>
  <c r="H334" i="17" s="1"/>
  <c r="H343" i="17" s="1"/>
  <c r="J314" i="17"/>
  <c r="J323" i="17"/>
  <c r="J332" i="17" s="1"/>
  <c r="J341" i="17" s="1"/>
  <c r="H306" i="17"/>
  <c r="H315" i="17"/>
  <c r="J306" i="17"/>
  <c r="J315" i="17"/>
  <c r="H298" i="17"/>
  <c r="H307" i="17"/>
  <c r="H296" i="17"/>
  <c r="H305" i="17"/>
  <c r="J296" i="17"/>
  <c r="J305" i="17"/>
  <c r="J298" i="17"/>
  <c r="J307" i="17"/>
  <c r="J270" i="17"/>
  <c r="J297" i="17"/>
  <c r="H270" i="17"/>
  <c r="H297" i="17"/>
  <c r="G274" i="17"/>
  <c r="G283" i="17"/>
  <c r="G292" i="17" s="1"/>
  <c r="G301" i="17" s="1"/>
  <c r="G310" i="17" s="1"/>
  <c r="G319" i="17" s="1"/>
  <c r="G328" i="17" s="1"/>
  <c r="G337" i="17" s="1"/>
  <c r="G346" i="17" s="1"/>
  <c r="G355" i="17" s="1"/>
  <c r="G364" i="17" s="1"/>
  <c r="G373" i="17" s="1"/>
  <c r="G382" i="17" s="1"/>
  <c r="G391" i="17" s="1"/>
  <c r="G400" i="17" s="1"/>
  <c r="G409" i="17" s="1"/>
  <c r="G418" i="17" s="1"/>
  <c r="G427" i="17" s="1"/>
  <c r="G436" i="17" s="1"/>
  <c r="G445" i="17" s="1"/>
  <c r="G454" i="17" s="1"/>
  <c r="G463" i="17" s="1"/>
  <c r="G472" i="17" s="1"/>
  <c r="G481" i="17" s="1"/>
  <c r="G490" i="17" s="1"/>
  <c r="I274" i="17"/>
  <c r="I283" i="17"/>
  <c r="I292" i="17" s="1"/>
  <c r="I301" i="17" s="1"/>
  <c r="I310" i="17" s="1"/>
  <c r="I319" i="17" s="1"/>
  <c r="I328" i="17" s="1"/>
  <c r="I337" i="17" s="1"/>
  <c r="I346" i="17" s="1"/>
  <c r="I355" i="17" s="1"/>
  <c r="I364" i="17" s="1"/>
  <c r="I373" i="17" s="1"/>
  <c r="I382" i="17" s="1"/>
  <c r="I391" i="17" s="1"/>
  <c r="I400" i="17" s="1"/>
  <c r="I409" i="17" s="1"/>
  <c r="I418" i="17" s="1"/>
  <c r="I427" i="17" s="1"/>
  <c r="I436" i="17" s="1"/>
  <c r="I445" i="17" s="1"/>
  <c r="I454" i="17" s="1"/>
  <c r="I463" i="17" s="1"/>
  <c r="I472" i="17" s="1"/>
  <c r="I481" i="17" s="1"/>
  <c r="I490" i="17" s="1"/>
  <c r="I275" i="17"/>
  <c r="G273" i="17"/>
  <c r="I273" i="17"/>
  <c r="G275" i="17"/>
  <c r="H269" i="17"/>
  <c r="H271" i="17"/>
  <c r="J269" i="17"/>
  <c r="J271" i="17"/>
  <c r="H247" i="17"/>
  <c r="H256" i="17" s="1"/>
  <c r="H265" i="17" s="1"/>
  <c r="H261" i="17"/>
  <c r="H248" i="17"/>
  <c r="H257" i="17" s="1"/>
  <c r="H266" i="17" s="1"/>
  <c r="H284" i="17" s="1"/>
  <c r="H293" i="17" s="1"/>
  <c r="H262" i="17"/>
  <c r="J247" i="17"/>
  <c r="J256" i="17" s="1"/>
  <c r="J265" i="17" s="1"/>
  <c r="J261" i="17"/>
  <c r="J246" i="17"/>
  <c r="J255" i="17" s="1"/>
  <c r="J264" i="17" s="1"/>
  <c r="J282" i="17" s="1"/>
  <c r="J291" i="17" s="1"/>
  <c r="J300" i="17" s="1"/>
  <c r="J309" i="17" s="1"/>
  <c r="J318" i="17" s="1"/>
  <c r="J327" i="17" s="1"/>
  <c r="J336" i="17" s="1"/>
  <c r="J345" i="17" s="1"/>
  <c r="J354" i="17" s="1"/>
  <c r="J363" i="17" s="1"/>
  <c r="J372" i="17" s="1"/>
  <c r="J381" i="17" s="1"/>
  <c r="J390" i="17" s="1"/>
  <c r="J399" i="17" s="1"/>
  <c r="J408" i="17" s="1"/>
  <c r="J417" i="17" s="1"/>
  <c r="J426" i="17" s="1"/>
  <c r="J435" i="17" s="1"/>
  <c r="J444" i="17" s="1"/>
  <c r="J453" i="17" s="1"/>
  <c r="J462" i="17" s="1"/>
  <c r="J471" i="17" s="1"/>
  <c r="J480" i="17" s="1"/>
  <c r="J489" i="17" s="1"/>
  <c r="J260" i="17"/>
  <c r="J248" i="17"/>
  <c r="J257" i="17" s="1"/>
  <c r="J266" i="17" s="1"/>
  <c r="J284" i="17" s="1"/>
  <c r="J293" i="17" s="1"/>
  <c r="J302" i="17" s="1"/>
  <c r="J311" i="17" s="1"/>
  <c r="J320" i="17" s="1"/>
  <c r="J329" i="17" s="1"/>
  <c r="J338" i="17" s="1"/>
  <c r="J347" i="17" s="1"/>
  <c r="J356" i="17" s="1"/>
  <c r="J365" i="17" s="1"/>
  <c r="J374" i="17" s="1"/>
  <c r="J383" i="17" s="1"/>
  <c r="J392" i="17" s="1"/>
  <c r="J401" i="17" s="1"/>
  <c r="J410" i="17" s="1"/>
  <c r="J419" i="17" s="1"/>
  <c r="J428" i="17" s="1"/>
  <c r="J437" i="17" s="1"/>
  <c r="J446" i="17" s="1"/>
  <c r="J455" i="17" s="1"/>
  <c r="J464" i="17" s="1"/>
  <c r="J473" i="17" s="1"/>
  <c r="J482" i="17" s="1"/>
  <c r="J491" i="17" s="1"/>
  <c r="J262" i="17"/>
  <c r="H246" i="17"/>
  <c r="H255" i="17" s="1"/>
  <c r="H264" i="17" s="1"/>
  <c r="H282" i="17" s="1"/>
  <c r="H260" i="17"/>
  <c r="Q148" i="17"/>
  <c r="Q161" i="17" s="1"/>
  <c r="G152" i="17"/>
  <c r="G151" i="17"/>
  <c r="G153" i="17"/>
  <c r="G168" i="17"/>
  <c r="G155" i="17"/>
  <c r="G169" i="17"/>
  <c r="G156" i="17"/>
  <c r="G154" i="17"/>
  <c r="G164" i="17"/>
  <c r="G45" i="17"/>
  <c r="G44" i="17"/>
  <c r="G46" i="17"/>
  <c r="I502" i="17"/>
  <c r="I514" i="17" s="1"/>
  <c r="I523" i="17" s="1"/>
  <c r="I532" i="17" s="1"/>
  <c r="I541" i="17" s="1"/>
  <c r="I503" i="17"/>
  <c r="I515" i="17" s="1"/>
  <c r="I524" i="17" s="1"/>
  <c r="I533" i="17" s="1"/>
  <c r="I542" i="17" s="1"/>
  <c r="G502" i="17"/>
  <c r="G514" i="17" s="1"/>
  <c r="G523" i="17" s="1"/>
  <c r="G532" i="17" s="1"/>
  <c r="G541" i="17" s="1"/>
  <c r="G503" i="17"/>
  <c r="G515" i="17" s="1"/>
  <c r="G524" i="17" s="1"/>
  <c r="G533" i="17" s="1"/>
  <c r="G542" i="17" s="1"/>
  <c r="G499" i="17"/>
  <c r="G511" i="17" s="1"/>
  <c r="G520" i="17" s="1"/>
  <c r="G529" i="17" s="1"/>
  <c r="G538" i="17" s="1"/>
  <c r="G227" i="17"/>
  <c r="G214" i="17"/>
  <c r="H164" i="17"/>
  <c r="H167" i="17"/>
  <c r="H165" i="17"/>
  <c r="H168" i="17"/>
  <c r="H166" i="17"/>
  <c r="H169" i="17"/>
  <c r="G130" i="17"/>
  <c r="G137" i="17" s="1"/>
  <c r="G134" i="17"/>
  <c r="H129" i="17"/>
  <c r="H136" i="17" s="1"/>
  <c r="H133" i="17"/>
  <c r="H131" i="17"/>
  <c r="H138" i="17" s="1"/>
  <c r="H135" i="17"/>
  <c r="I116" i="17"/>
  <c r="I123" i="17" s="1"/>
  <c r="I127" i="17"/>
  <c r="J116" i="17"/>
  <c r="J123" i="17" s="1"/>
  <c r="J117" i="17"/>
  <c r="J124" i="17" s="1"/>
  <c r="I117" i="17"/>
  <c r="I124" i="17" s="1"/>
  <c r="J115" i="17"/>
  <c r="J122" i="17" s="1"/>
  <c r="Q10" i="17"/>
  <c r="Q11" i="17"/>
  <c r="I14" i="26"/>
  <c r="J14" i="26" s="1"/>
  <c r="Z5" i="39" s="1"/>
  <c r="I54" i="26"/>
  <c r="J54" i="26" s="1"/>
  <c r="O6" i="39" s="1"/>
  <c r="I23" i="26"/>
  <c r="J23" i="26" s="1"/>
  <c r="M5" i="39" s="1"/>
  <c r="I42" i="26"/>
  <c r="C17" i="26"/>
  <c r="D17" i="26" s="1"/>
  <c r="D16" i="26"/>
  <c r="E15" i="26"/>
  <c r="H15" i="26"/>
  <c r="E43" i="26"/>
  <c r="H43" i="26"/>
  <c r="C45" i="26"/>
  <c r="D44" i="26"/>
  <c r="E24" i="26"/>
  <c r="H24" i="26"/>
  <c r="D25" i="26"/>
  <c r="C26" i="26"/>
  <c r="C57" i="26"/>
  <c r="D56" i="26"/>
  <c r="H55" i="26"/>
  <c r="E55" i="26"/>
  <c r="Q195" i="17" l="1"/>
  <c r="Q150" i="17" s="1"/>
  <c r="Q156" i="17" s="1"/>
  <c r="Q191" i="48"/>
  <c r="Q188" i="48"/>
  <c r="Q167" i="48"/>
  <c r="Q164" i="48"/>
  <c r="Q168" i="48"/>
  <c r="Q165" i="48"/>
  <c r="Q192" i="48"/>
  <c r="Q189" i="48"/>
  <c r="Q156" i="48"/>
  <c r="Q153" i="48"/>
  <c r="Q163" i="48"/>
  <c r="N175" i="48"/>
  <c r="O175" i="48" s="1"/>
  <c r="P175" i="48" s="1"/>
  <c r="N177" i="48"/>
  <c r="O177" i="48" s="1"/>
  <c r="P177" i="48" s="1"/>
  <c r="K188" i="48"/>
  <c r="N188" i="48" s="1"/>
  <c r="O188" i="48" s="1"/>
  <c r="P188" i="48" s="1"/>
  <c r="K182" i="48"/>
  <c r="N182" i="48" s="1"/>
  <c r="K159" i="48"/>
  <c r="N159" i="48" s="1"/>
  <c r="N121" i="48"/>
  <c r="I131" i="17"/>
  <c r="I138" i="17" s="1"/>
  <c r="N20" i="48"/>
  <c r="O20" i="48" s="1"/>
  <c r="P20" i="48" s="1"/>
  <c r="L178" i="48"/>
  <c r="M178" i="48" s="1"/>
  <c r="N174" i="48"/>
  <c r="O174" i="48" s="1"/>
  <c r="P174" i="48" s="1"/>
  <c r="N181" i="48"/>
  <c r="O181" i="48" s="1"/>
  <c r="P181" i="48" s="1"/>
  <c r="L28" i="48"/>
  <c r="M28" i="48" s="1"/>
  <c r="N100" i="48"/>
  <c r="O100" i="48" s="1"/>
  <c r="P100" i="48" s="1"/>
  <c r="L120" i="48"/>
  <c r="M120" i="48" s="1"/>
  <c r="L16" i="48"/>
  <c r="M16" i="48" s="1"/>
  <c r="L29" i="48"/>
  <c r="M29" i="48" s="1"/>
  <c r="N101" i="48"/>
  <c r="O101" i="48" s="1"/>
  <c r="P101" i="48" s="1"/>
  <c r="K189" i="48"/>
  <c r="L189" i="48" s="1"/>
  <c r="M9" i="48"/>
  <c r="M12" i="48" s="1"/>
  <c r="L186" i="48"/>
  <c r="M186" i="48" s="1"/>
  <c r="N186" i="48"/>
  <c r="O65" i="48"/>
  <c r="P65" i="48" s="1"/>
  <c r="O216" i="48"/>
  <c r="P216" i="48" s="1"/>
  <c r="O73" i="48"/>
  <c r="P73" i="48" s="1"/>
  <c r="L149" i="48"/>
  <c r="M149" i="48" s="1"/>
  <c r="N149" i="48"/>
  <c r="L233" i="48"/>
  <c r="M233" i="48" s="1"/>
  <c r="N233" i="48"/>
  <c r="O233" i="48" s="1"/>
  <c r="P233" i="48" s="1"/>
  <c r="N306" i="48"/>
  <c r="L306" i="48"/>
  <c r="M306" i="48" s="1"/>
  <c r="L232" i="48"/>
  <c r="M232" i="48" s="1"/>
  <c r="N232" i="48"/>
  <c r="O232" i="48" s="1"/>
  <c r="P232" i="48" s="1"/>
  <c r="L242" i="48"/>
  <c r="M242" i="48" s="1"/>
  <c r="N242" i="48"/>
  <c r="O242" i="48" s="1"/>
  <c r="P242" i="48" s="1"/>
  <c r="G167" i="48"/>
  <c r="K167" i="48" s="1"/>
  <c r="G164" i="48"/>
  <c r="K164" i="48" s="1"/>
  <c r="K161" i="48"/>
  <c r="G289" i="48"/>
  <c r="K289" i="48" s="1"/>
  <c r="K280" i="48"/>
  <c r="N52" i="48"/>
  <c r="O52" i="48" s="1"/>
  <c r="P52" i="48" s="1"/>
  <c r="L52" i="48"/>
  <c r="M52" i="48" s="1"/>
  <c r="L192" i="48"/>
  <c r="M192" i="48" s="1"/>
  <c r="N192" i="48"/>
  <c r="O192" i="48" s="1"/>
  <c r="P192" i="48" s="1"/>
  <c r="L510" i="48"/>
  <c r="M510" i="48" s="1"/>
  <c r="N510" i="48"/>
  <c r="O510" i="48" s="1"/>
  <c r="P510" i="48" s="1"/>
  <c r="L152" i="48"/>
  <c r="M152" i="48" s="1"/>
  <c r="N152" i="48"/>
  <c r="O152" i="48" s="1"/>
  <c r="P152" i="48" s="1"/>
  <c r="G288" i="48"/>
  <c r="K288" i="48" s="1"/>
  <c r="K279" i="48"/>
  <c r="N351" i="48"/>
  <c r="O351" i="48" s="1"/>
  <c r="P351" i="48" s="1"/>
  <c r="L351" i="48"/>
  <c r="M351" i="48" s="1"/>
  <c r="G386" i="48"/>
  <c r="K377" i="48"/>
  <c r="N296" i="48"/>
  <c r="O296" i="48" s="1"/>
  <c r="P296" i="48" s="1"/>
  <c r="L296" i="48"/>
  <c r="M296" i="48" s="1"/>
  <c r="L154" i="48"/>
  <c r="M154" i="48" s="1"/>
  <c r="N154" i="48"/>
  <c r="O154" i="48" s="1"/>
  <c r="P154" i="48" s="1"/>
  <c r="G334" i="48"/>
  <c r="K325" i="48"/>
  <c r="O75" i="48"/>
  <c r="P75" i="48" s="1"/>
  <c r="O501" i="48"/>
  <c r="P501" i="48" s="1"/>
  <c r="K519" i="48"/>
  <c r="G528" i="48"/>
  <c r="N155" i="48"/>
  <c r="O155" i="48" s="1"/>
  <c r="P155" i="48" s="1"/>
  <c r="L155" i="48"/>
  <c r="M155" i="48" s="1"/>
  <c r="L116" i="48"/>
  <c r="M116" i="48" s="1"/>
  <c r="N116" i="48"/>
  <c r="O116" i="48" s="1"/>
  <c r="P116" i="48" s="1"/>
  <c r="L243" i="48"/>
  <c r="M243" i="48" s="1"/>
  <c r="N243" i="48"/>
  <c r="O243" i="48" s="1"/>
  <c r="P243" i="48" s="1"/>
  <c r="G333" i="48"/>
  <c r="K324" i="48"/>
  <c r="G332" i="48"/>
  <c r="K323" i="48"/>
  <c r="L269" i="48"/>
  <c r="M269" i="48" s="1"/>
  <c r="N269" i="48"/>
  <c r="K134" i="48"/>
  <c r="L234" i="48"/>
  <c r="M234" i="48" s="1"/>
  <c r="N234" i="48"/>
  <c r="O234" i="48" s="1"/>
  <c r="P234" i="48" s="1"/>
  <c r="N316" i="48"/>
  <c r="O316" i="48" s="1"/>
  <c r="P316" i="48" s="1"/>
  <c r="L316" i="48"/>
  <c r="M316" i="48" s="1"/>
  <c r="O64" i="48"/>
  <c r="P64" i="48" s="1"/>
  <c r="L51" i="48"/>
  <c r="M51" i="48" s="1"/>
  <c r="N51" i="48"/>
  <c r="O51" i="48" s="1"/>
  <c r="P51" i="48" s="1"/>
  <c r="K514" i="48"/>
  <c r="G523" i="48"/>
  <c r="G165" i="48"/>
  <c r="K165" i="48" s="1"/>
  <c r="G168" i="48"/>
  <c r="K168" i="48" s="1"/>
  <c r="K162" i="48"/>
  <c r="N123" i="48"/>
  <c r="O123" i="48" s="1"/>
  <c r="P123" i="48" s="1"/>
  <c r="L123" i="48"/>
  <c r="M123" i="48" s="1"/>
  <c r="L252" i="48"/>
  <c r="M252" i="48" s="1"/>
  <c r="N252" i="48"/>
  <c r="O252" i="48" s="1"/>
  <c r="P252" i="48" s="1"/>
  <c r="N297" i="48"/>
  <c r="O297" i="48" s="1"/>
  <c r="P297" i="48" s="1"/>
  <c r="L297" i="48"/>
  <c r="M297" i="48" s="1"/>
  <c r="K13" i="48"/>
  <c r="N13" i="48" s="1"/>
  <c r="O13" i="48" s="1"/>
  <c r="P13" i="48" s="1"/>
  <c r="L10" i="48"/>
  <c r="L13" i="48" s="1"/>
  <c r="N10" i="48"/>
  <c r="O10" i="48" s="1"/>
  <c r="P10" i="48" s="1"/>
  <c r="L260" i="48"/>
  <c r="M260" i="48" s="1"/>
  <c r="N260" i="48"/>
  <c r="O260" i="48" s="1"/>
  <c r="P260" i="48" s="1"/>
  <c r="L350" i="48"/>
  <c r="M350" i="48" s="1"/>
  <c r="N350" i="48"/>
  <c r="O350" i="48" s="1"/>
  <c r="P350" i="48" s="1"/>
  <c r="G137" i="48"/>
  <c r="K137" i="48" s="1"/>
  <c r="K130" i="48"/>
  <c r="L253" i="48"/>
  <c r="M253" i="48" s="1"/>
  <c r="N253" i="48"/>
  <c r="O253" i="48" s="1"/>
  <c r="P253" i="48" s="1"/>
  <c r="N352" i="48"/>
  <c r="O352" i="48" s="1"/>
  <c r="P352" i="48" s="1"/>
  <c r="L352" i="48"/>
  <c r="M352" i="48" s="1"/>
  <c r="L184" i="48"/>
  <c r="M184" i="48" s="1"/>
  <c r="N184" i="48"/>
  <c r="O184" i="48" s="1"/>
  <c r="P184" i="48" s="1"/>
  <c r="O83" i="48"/>
  <c r="P83" i="48" s="1"/>
  <c r="N150" i="48"/>
  <c r="O150" i="48" s="1"/>
  <c r="P150" i="48" s="1"/>
  <c r="L150" i="48"/>
  <c r="M150" i="48" s="1"/>
  <c r="L502" i="48"/>
  <c r="M502" i="48" s="1"/>
  <c r="N502" i="48"/>
  <c r="O70" i="48"/>
  <c r="P70" i="48" s="1"/>
  <c r="N368" i="48"/>
  <c r="L368" i="48"/>
  <c r="M368" i="48" s="1"/>
  <c r="N236" i="48"/>
  <c r="O236" i="48" s="1"/>
  <c r="P236" i="48" s="1"/>
  <c r="L236" i="48"/>
  <c r="M236" i="48" s="1"/>
  <c r="N21" i="48"/>
  <c r="O21" i="48" s="1"/>
  <c r="P21" i="48" s="1"/>
  <c r="L21" i="48"/>
  <c r="M21" i="48" s="1"/>
  <c r="N127" i="48"/>
  <c r="O127" i="48" s="1"/>
  <c r="P127" i="48" s="1"/>
  <c r="L127" i="48"/>
  <c r="M127" i="48" s="1"/>
  <c r="N361" i="48"/>
  <c r="O361" i="48" s="1"/>
  <c r="P361" i="48" s="1"/>
  <c r="L361" i="48"/>
  <c r="M361" i="48" s="1"/>
  <c r="N298" i="48"/>
  <c r="O298" i="48" s="1"/>
  <c r="P298" i="48" s="1"/>
  <c r="L298" i="48"/>
  <c r="M298" i="48" s="1"/>
  <c r="K187" i="48"/>
  <c r="N153" i="48"/>
  <c r="L153" i="48"/>
  <c r="M153" i="48" s="1"/>
  <c r="O69" i="48"/>
  <c r="P69" i="48" s="1"/>
  <c r="G387" i="48"/>
  <c r="K378" i="48"/>
  <c r="O210" i="48"/>
  <c r="P210" i="48" s="1"/>
  <c r="G45" i="48"/>
  <c r="K45" i="48" s="1"/>
  <c r="K42" i="48"/>
  <c r="N305" i="48"/>
  <c r="O305" i="48" s="1"/>
  <c r="P305" i="48" s="1"/>
  <c r="L305" i="48"/>
  <c r="M305" i="48" s="1"/>
  <c r="N37" i="48"/>
  <c r="O37" i="48" s="1"/>
  <c r="P37" i="48" s="1"/>
  <c r="L37" i="48"/>
  <c r="M37" i="48" s="1"/>
  <c r="N369" i="48"/>
  <c r="L369" i="48"/>
  <c r="M369" i="48" s="1"/>
  <c r="N307" i="48"/>
  <c r="O307" i="48" s="1"/>
  <c r="P307" i="48" s="1"/>
  <c r="L307" i="48"/>
  <c r="M307" i="48" s="1"/>
  <c r="N41" i="48"/>
  <c r="L41" i="48"/>
  <c r="M41" i="48" s="1"/>
  <c r="N17" i="48"/>
  <c r="O17" i="48" s="1"/>
  <c r="P17" i="48" s="1"/>
  <c r="L17" i="48"/>
  <c r="M17" i="48" s="1"/>
  <c r="K190" i="48"/>
  <c r="O114" i="48"/>
  <c r="P114" i="48" s="1"/>
  <c r="N97" i="48"/>
  <c r="L97" i="48"/>
  <c r="M97" i="48" s="1"/>
  <c r="G166" i="48"/>
  <c r="K166" i="48" s="1"/>
  <c r="G169" i="48"/>
  <c r="K169" i="48" s="1"/>
  <c r="K163" i="48"/>
  <c r="L11" i="48"/>
  <c r="L14" i="48" s="1"/>
  <c r="N11" i="48"/>
  <c r="O11" i="48" s="1"/>
  <c r="P11" i="48" s="1"/>
  <c r="K14" i="48"/>
  <c r="N14" i="48" s="1"/>
  <c r="O14" i="48" s="1"/>
  <c r="P14" i="48" s="1"/>
  <c r="O27" i="48"/>
  <c r="P27" i="48" s="1"/>
  <c r="O85" i="48"/>
  <c r="P85" i="48" s="1"/>
  <c r="G256" i="48"/>
  <c r="K247" i="48"/>
  <c r="G38" i="48"/>
  <c r="K38" i="48" s="1"/>
  <c r="K22" i="48"/>
  <c r="N314" i="48"/>
  <c r="O314" i="48" s="1"/>
  <c r="P314" i="48" s="1"/>
  <c r="L314" i="48"/>
  <c r="M314" i="48" s="1"/>
  <c r="G388" i="48"/>
  <c r="K379" i="48"/>
  <c r="N128" i="48"/>
  <c r="L128" i="48"/>
  <c r="M128" i="48" s="1"/>
  <c r="L44" i="48"/>
  <c r="M44" i="48" s="1"/>
  <c r="N44" i="48"/>
  <c r="O32" i="48"/>
  <c r="P32" i="48" s="1"/>
  <c r="L33" i="48"/>
  <c r="M33" i="48" s="1"/>
  <c r="N33" i="48"/>
  <c r="O33" i="48" s="1"/>
  <c r="P33" i="48" s="1"/>
  <c r="N104" i="48"/>
  <c r="O104" i="48" s="1"/>
  <c r="P104" i="48" s="1"/>
  <c r="L104" i="48"/>
  <c r="M104" i="48" s="1"/>
  <c r="L499" i="48"/>
  <c r="M499" i="48" s="1"/>
  <c r="N499" i="48"/>
  <c r="O499" i="48" s="1"/>
  <c r="P499" i="48" s="1"/>
  <c r="N156" i="48"/>
  <c r="O156" i="48" s="1"/>
  <c r="P156" i="48" s="1"/>
  <c r="L156" i="48"/>
  <c r="M156" i="48" s="1"/>
  <c r="N179" i="48"/>
  <c r="O179" i="48" s="1"/>
  <c r="P179" i="48" s="1"/>
  <c r="L179" i="48"/>
  <c r="M179" i="48" s="1"/>
  <c r="G46" i="48"/>
  <c r="K46" i="48" s="1"/>
  <c r="K43" i="48"/>
  <c r="N513" i="48"/>
  <c r="O513" i="48" s="1"/>
  <c r="P513" i="48" s="1"/>
  <c r="L513" i="48"/>
  <c r="M513" i="48" s="1"/>
  <c r="N360" i="48"/>
  <c r="O360" i="48" s="1"/>
  <c r="P360" i="48" s="1"/>
  <c r="L360" i="48"/>
  <c r="M360" i="48" s="1"/>
  <c r="N96" i="48"/>
  <c r="L96" i="48"/>
  <c r="M96" i="48" s="1"/>
  <c r="L251" i="48"/>
  <c r="M251" i="48" s="1"/>
  <c r="N251" i="48"/>
  <c r="O251" i="48" s="1"/>
  <c r="P251" i="48" s="1"/>
  <c r="L271" i="48"/>
  <c r="M271" i="48" s="1"/>
  <c r="N271" i="48"/>
  <c r="O271" i="48" s="1"/>
  <c r="P271" i="48" s="1"/>
  <c r="G138" i="48"/>
  <c r="K138" i="48" s="1"/>
  <c r="K131" i="48"/>
  <c r="O121" i="48"/>
  <c r="P121" i="48" s="1"/>
  <c r="O25" i="48"/>
  <c r="P25" i="48" s="1"/>
  <c r="G520" i="48"/>
  <c r="K511" i="48"/>
  <c r="N50" i="48"/>
  <c r="L50" i="48"/>
  <c r="M50" i="48" s="1"/>
  <c r="G531" i="48"/>
  <c r="K522" i="48"/>
  <c r="L270" i="48"/>
  <c r="M270" i="48" s="1"/>
  <c r="N270" i="48"/>
  <c r="O270" i="48" s="1"/>
  <c r="P270" i="48" s="1"/>
  <c r="L103" i="48"/>
  <c r="M103" i="48" s="1"/>
  <c r="N103" i="48"/>
  <c r="O103" i="48" s="1"/>
  <c r="P103" i="48" s="1"/>
  <c r="G287" i="48"/>
  <c r="K287" i="48" s="1"/>
  <c r="K278" i="48"/>
  <c r="L244" i="48"/>
  <c r="M244" i="48" s="1"/>
  <c r="N244" i="48"/>
  <c r="O244" i="48" s="1"/>
  <c r="P244" i="48" s="1"/>
  <c r="K135" i="48"/>
  <c r="N124" i="48"/>
  <c r="L124" i="48"/>
  <c r="M124" i="48" s="1"/>
  <c r="L503" i="48"/>
  <c r="M503" i="48" s="1"/>
  <c r="N503" i="48"/>
  <c r="O503" i="48" s="1"/>
  <c r="P503" i="48" s="1"/>
  <c r="N53" i="48"/>
  <c r="L53" i="48"/>
  <c r="M53" i="48" s="1"/>
  <c r="G39" i="48"/>
  <c r="K39" i="48" s="1"/>
  <c r="K23" i="48"/>
  <c r="N176" i="48"/>
  <c r="O176" i="48" s="1"/>
  <c r="P176" i="48" s="1"/>
  <c r="L176" i="48"/>
  <c r="M176" i="48" s="1"/>
  <c r="L261" i="48"/>
  <c r="M261" i="48" s="1"/>
  <c r="N261" i="48"/>
  <c r="O261" i="48" s="1"/>
  <c r="P261" i="48" s="1"/>
  <c r="G255" i="48"/>
  <c r="K246" i="48"/>
  <c r="N126" i="48"/>
  <c r="L126" i="48"/>
  <c r="M126" i="48" s="1"/>
  <c r="G257" i="48"/>
  <c r="K248" i="48"/>
  <c r="L102" i="48"/>
  <c r="M102" i="48" s="1"/>
  <c r="N102" i="48"/>
  <c r="N117" i="48"/>
  <c r="O117" i="48" s="1"/>
  <c r="P117" i="48" s="1"/>
  <c r="L117" i="48"/>
  <c r="M117" i="48" s="1"/>
  <c r="O12" i="48"/>
  <c r="P12" i="48" s="1"/>
  <c r="O158" i="48"/>
  <c r="P158" i="48" s="1"/>
  <c r="G524" i="48"/>
  <c r="K515" i="48"/>
  <c r="L48" i="48"/>
  <c r="M48" i="48" s="1"/>
  <c r="N48" i="48"/>
  <c r="L122" i="48"/>
  <c r="M122" i="48" s="1"/>
  <c r="N122" i="48"/>
  <c r="O122" i="48" s="1"/>
  <c r="P122" i="48" s="1"/>
  <c r="N19" i="48"/>
  <c r="O19" i="48" s="1"/>
  <c r="P19" i="48" s="1"/>
  <c r="L19" i="48"/>
  <c r="M19" i="48" s="1"/>
  <c r="L237" i="48"/>
  <c r="M237" i="48" s="1"/>
  <c r="N237" i="48"/>
  <c r="O36" i="48"/>
  <c r="P36" i="48" s="1"/>
  <c r="N359" i="48"/>
  <c r="O359" i="48" s="1"/>
  <c r="P359" i="48" s="1"/>
  <c r="L359" i="48"/>
  <c r="M359" i="48" s="1"/>
  <c r="K133" i="48"/>
  <c r="N148" i="48"/>
  <c r="O148" i="48" s="1"/>
  <c r="P148" i="48" s="1"/>
  <c r="L148" i="48"/>
  <c r="M148" i="48" s="1"/>
  <c r="L262" i="48"/>
  <c r="M262" i="48" s="1"/>
  <c r="N262" i="48"/>
  <c r="O262" i="48" s="1"/>
  <c r="P262" i="48" s="1"/>
  <c r="G536" i="48"/>
  <c r="K527" i="48"/>
  <c r="N98" i="48"/>
  <c r="L98" i="48"/>
  <c r="M98" i="48" s="1"/>
  <c r="L185" i="48"/>
  <c r="M185" i="48" s="1"/>
  <c r="N185" i="48"/>
  <c r="O185" i="48" s="1"/>
  <c r="P185" i="48" s="1"/>
  <c r="O71" i="48"/>
  <c r="P71" i="48" s="1"/>
  <c r="L30" i="48"/>
  <c r="M30" i="48" s="1"/>
  <c r="N30" i="48"/>
  <c r="O30" i="48" s="1"/>
  <c r="P30" i="48" s="1"/>
  <c r="O173" i="48"/>
  <c r="P173" i="48" s="1"/>
  <c r="N115" i="48"/>
  <c r="O115" i="48" s="1"/>
  <c r="P115" i="48" s="1"/>
  <c r="L115" i="48"/>
  <c r="M115" i="48" s="1"/>
  <c r="N35" i="48"/>
  <c r="L35" i="48"/>
  <c r="M35" i="48" s="1"/>
  <c r="L315" i="48"/>
  <c r="M315" i="48" s="1"/>
  <c r="N315" i="48"/>
  <c r="L119" i="48"/>
  <c r="M119" i="48" s="1"/>
  <c r="N119" i="48"/>
  <c r="O119" i="48" s="1"/>
  <c r="P119" i="48" s="1"/>
  <c r="N367" i="48"/>
  <c r="O367" i="48" s="1"/>
  <c r="P367" i="48" s="1"/>
  <c r="L367" i="48"/>
  <c r="M367" i="48" s="1"/>
  <c r="K129" i="48"/>
  <c r="G136" i="48"/>
  <c r="K136" i="48" s="1"/>
  <c r="L151" i="48"/>
  <c r="M151" i="48" s="1"/>
  <c r="N151" i="48"/>
  <c r="L238" i="48"/>
  <c r="M238" i="48" s="1"/>
  <c r="N238" i="48"/>
  <c r="O238" i="48" s="1"/>
  <c r="P238" i="48" s="1"/>
  <c r="L49" i="48"/>
  <c r="M49" i="48" s="1"/>
  <c r="N49" i="48"/>
  <c r="O49" i="48" s="1"/>
  <c r="P49" i="48" s="1"/>
  <c r="N518" i="48"/>
  <c r="O518" i="48" s="1"/>
  <c r="P518" i="48" s="1"/>
  <c r="L518" i="48"/>
  <c r="M518" i="48" s="1"/>
  <c r="N105" i="48"/>
  <c r="O105" i="48" s="1"/>
  <c r="P105" i="48" s="1"/>
  <c r="L105" i="48"/>
  <c r="M105" i="48" s="1"/>
  <c r="K191" i="48"/>
  <c r="H419" i="48"/>
  <c r="H417" i="48"/>
  <c r="H418" i="48"/>
  <c r="H559" i="17"/>
  <c r="I558" i="17"/>
  <c r="G564" i="17"/>
  <c r="G573" i="17" s="1"/>
  <c r="G582" i="17" s="1"/>
  <c r="G591" i="17" s="1"/>
  <c r="G600" i="17" s="1"/>
  <c r="G609" i="17" s="1"/>
  <c r="G618" i="17" s="1"/>
  <c r="G627" i="17" s="1"/>
  <c r="G636" i="17" s="1"/>
  <c r="G645" i="17" s="1"/>
  <c r="G654" i="17" s="1"/>
  <c r="G663" i="17" s="1"/>
  <c r="G672" i="17" s="1"/>
  <c r="G681" i="17" s="1"/>
  <c r="G690" i="17" s="1"/>
  <c r="G699" i="17" s="1"/>
  <c r="G708" i="17" s="1"/>
  <c r="G717" i="17" s="1"/>
  <c r="G726" i="17" s="1"/>
  <c r="G555" i="17"/>
  <c r="J555" i="17"/>
  <c r="J564" i="17"/>
  <c r="J573" i="17" s="1"/>
  <c r="J582" i="17" s="1"/>
  <c r="J591" i="17" s="1"/>
  <c r="J600" i="17" s="1"/>
  <c r="J609" i="17" s="1"/>
  <c r="J618" i="17" s="1"/>
  <c r="J627" i="17" s="1"/>
  <c r="J636" i="17" s="1"/>
  <c r="J645" i="17" s="1"/>
  <c r="J654" i="17" s="1"/>
  <c r="J663" i="17" s="1"/>
  <c r="J672" i="17" s="1"/>
  <c r="J681" i="17" s="1"/>
  <c r="J690" i="17" s="1"/>
  <c r="J699" i="17" s="1"/>
  <c r="J708" i="17" s="1"/>
  <c r="J717" i="17" s="1"/>
  <c r="J726" i="17" s="1"/>
  <c r="H560" i="17"/>
  <c r="H569" i="17"/>
  <c r="H578" i="17" s="1"/>
  <c r="H587" i="17" s="1"/>
  <c r="H596" i="17" s="1"/>
  <c r="H605" i="17" s="1"/>
  <c r="H614" i="17" s="1"/>
  <c r="H623" i="17" s="1"/>
  <c r="H632" i="17" s="1"/>
  <c r="H641" i="17" s="1"/>
  <c r="H650" i="17" s="1"/>
  <c r="H659" i="17" s="1"/>
  <c r="H668" i="17" s="1"/>
  <c r="H677" i="17" s="1"/>
  <c r="H686" i="17" s="1"/>
  <c r="H695" i="17" s="1"/>
  <c r="H704" i="17" s="1"/>
  <c r="H713" i="17" s="1"/>
  <c r="H722" i="17" s="1"/>
  <c r="H731" i="17" s="1"/>
  <c r="G558" i="17"/>
  <c r="G567" i="17"/>
  <c r="G576" i="17" s="1"/>
  <c r="G585" i="17" s="1"/>
  <c r="G594" i="17" s="1"/>
  <c r="G603" i="17" s="1"/>
  <c r="H565" i="17"/>
  <c r="H574" i="17" s="1"/>
  <c r="H583" i="17" s="1"/>
  <c r="H592" i="17" s="1"/>
  <c r="H601" i="17" s="1"/>
  <c r="H610" i="17" s="1"/>
  <c r="H619" i="17" s="1"/>
  <c r="H628" i="17" s="1"/>
  <c r="H637" i="17" s="1"/>
  <c r="H646" i="17" s="1"/>
  <c r="H655" i="17" s="1"/>
  <c r="H664" i="17" s="1"/>
  <c r="H673" i="17" s="1"/>
  <c r="H682" i="17" s="1"/>
  <c r="H691" i="17" s="1"/>
  <c r="H700" i="17" s="1"/>
  <c r="H709" i="17" s="1"/>
  <c r="H718" i="17" s="1"/>
  <c r="H727" i="17" s="1"/>
  <c r="H556" i="17"/>
  <c r="J565" i="17"/>
  <c r="J574" i="17" s="1"/>
  <c r="J583" i="17" s="1"/>
  <c r="J592" i="17" s="1"/>
  <c r="J601" i="17" s="1"/>
  <c r="J610" i="17" s="1"/>
  <c r="J619" i="17" s="1"/>
  <c r="J628" i="17" s="1"/>
  <c r="J637" i="17" s="1"/>
  <c r="J646" i="17" s="1"/>
  <c r="J655" i="17" s="1"/>
  <c r="J664" i="17" s="1"/>
  <c r="J673" i="17" s="1"/>
  <c r="J682" i="17" s="1"/>
  <c r="J691" i="17" s="1"/>
  <c r="J700" i="17" s="1"/>
  <c r="J709" i="17" s="1"/>
  <c r="J718" i="17" s="1"/>
  <c r="J727" i="17" s="1"/>
  <c r="J556" i="17"/>
  <c r="H555" i="17"/>
  <c r="H564" i="17"/>
  <c r="H573" i="17" s="1"/>
  <c r="H582" i="17" s="1"/>
  <c r="H591" i="17" s="1"/>
  <c r="H600" i="17" s="1"/>
  <c r="H609" i="17" s="1"/>
  <c r="H618" i="17" s="1"/>
  <c r="H627" i="17" s="1"/>
  <c r="H636" i="17" s="1"/>
  <c r="H645" i="17" s="1"/>
  <c r="H654" i="17" s="1"/>
  <c r="H663" i="17" s="1"/>
  <c r="H672" i="17" s="1"/>
  <c r="H681" i="17" s="1"/>
  <c r="H690" i="17" s="1"/>
  <c r="H699" i="17" s="1"/>
  <c r="H708" i="17" s="1"/>
  <c r="H717" i="17" s="1"/>
  <c r="H726" i="17" s="1"/>
  <c r="J559" i="17"/>
  <c r="I563" i="17"/>
  <c r="I572" i="17" s="1"/>
  <c r="I581" i="17" s="1"/>
  <c r="I590" i="17" s="1"/>
  <c r="I599" i="17" s="1"/>
  <c r="I608" i="17" s="1"/>
  <c r="I617" i="17" s="1"/>
  <c r="I626" i="17" s="1"/>
  <c r="I635" i="17" s="1"/>
  <c r="I644" i="17" s="1"/>
  <c r="I653" i="17" s="1"/>
  <c r="I662" i="17" s="1"/>
  <c r="I671" i="17" s="1"/>
  <c r="I680" i="17" s="1"/>
  <c r="I689" i="17" s="1"/>
  <c r="I698" i="17" s="1"/>
  <c r="I707" i="17" s="1"/>
  <c r="I716" i="17" s="1"/>
  <c r="I725" i="17" s="1"/>
  <c r="I554" i="17"/>
  <c r="J569" i="17"/>
  <c r="J578" i="17" s="1"/>
  <c r="J587" i="17" s="1"/>
  <c r="J596" i="17" s="1"/>
  <c r="J605" i="17" s="1"/>
  <c r="J614" i="17" s="1"/>
  <c r="J623" i="17" s="1"/>
  <c r="J632" i="17" s="1"/>
  <c r="J641" i="17" s="1"/>
  <c r="J650" i="17" s="1"/>
  <c r="J659" i="17" s="1"/>
  <c r="J668" i="17" s="1"/>
  <c r="J677" i="17" s="1"/>
  <c r="J686" i="17" s="1"/>
  <c r="J695" i="17" s="1"/>
  <c r="J704" i="17" s="1"/>
  <c r="J713" i="17" s="1"/>
  <c r="J722" i="17" s="1"/>
  <c r="J731" i="17" s="1"/>
  <c r="G547" i="17"/>
  <c r="G565" i="17" s="1"/>
  <c r="G574" i="17" s="1"/>
  <c r="G583" i="17" s="1"/>
  <c r="G592" i="17" s="1"/>
  <c r="G601" i="17" s="1"/>
  <c r="G610" i="17" s="1"/>
  <c r="G619" i="17" s="1"/>
  <c r="G628" i="17" s="1"/>
  <c r="G637" i="17" s="1"/>
  <c r="G646" i="17" s="1"/>
  <c r="G655" i="17" s="1"/>
  <c r="G664" i="17" s="1"/>
  <c r="G673" i="17" s="1"/>
  <c r="G682" i="17" s="1"/>
  <c r="G551" i="17"/>
  <c r="Q188" i="17"/>
  <c r="Q191" i="17"/>
  <c r="Q190" i="17"/>
  <c r="Q187" i="17"/>
  <c r="Q189" i="17"/>
  <c r="Q192" i="17"/>
  <c r="J129" i="17"/>
  <c r="J136" i="17" s="1"/>
  <c r="J131" i="17"/>
  <c r="J138" i="17" s="1"/>
  <c r="J134" i="17"/>
  <c r="H53" i="17"/>
  <c r="H51" i="17"/>
  <c r="H52" i="17"/>
  <c r="H485" i="17"/>
  <c r="H476" i="17"/>
  <c r="J486" i="17"/>
  <c r="J477" i="17"/>
  <c r="H486" i="17"/>
  <c r="H477" i="17"/>
  <c r="J487" i="17"/>
  <c r="J478" i="17"/>
  <c r="J485" i="17"/>
  <c r="J476" i="17"/>
  <c r="Q154" i="17"/>
  <c r="Q162" i="17"/>
  <c r="Q155" i="17"/>
  <c r="Q152" i="17"/>
  <c r="Q151" i="17"/>
  <c r="G671" i="17"/>
  <c r="I519" i="17"/>
  <c r="H238" i="17"/>
  <c r="H433" i="17"/>
  <c r="H302" i="17"/>
  <c r="H291" i="17"/>
  <c r="H274" i="17"/>
  <c r="H283" i="17"/>
  <c r="H292" i="17" s="1"/>
  <c r="H301" i="17" s="1"/>
  <c r="H310" i="17" s="1"/>
  <c r="H319" i="17" s="1"/>
  <c r="H328" i="17" s="1"/>
  <c r="H337" i="17" s="1"/>
  <c r="H346" i="17" s="1"/>
  <c r="H355" i="17" s="1"/>
  <c r="H364" i="17" s="1"/>
  <c r="H373" i="17" s="1"/>
  <c r="H382" i="17" s="1"/>
  <c r="H391" i="17" s="1"/>
  <c r="H400" i="17" s="1"/>
  <c r="H409" i="17" s="1"/>
  <c r="H418" i="17" s="1"/>
  <c r="H427" i="17" s="1"/>
  <c r="H436" i="17" s="1"/>
  <c r="H445" i="17" s="1"/>
  <c r="H454" i="17" s="1"/>
  <c r="H463" i="17" s="1"/>
  <c r="H472" i="17" s="1"/>
  <c r="H481" i="17" s="1"/>
  <c r="H490" i="17" s="1"/>
  <c r="J274" i="17"/>
  <c r="J283" i="17"/>
  <c r="H275" i="17"/>
  <c r="H273" i="17"/>
  <c r="J275" i="17"/>
  <c r="J273" i="17"/>
  <c r="Q14" i="17"/>
  <c r="Q13" i="17"/>
  <c r="I130" i="17"/>
  <c r="I134" i="17"/>
  <c r="I55" i="26"/>
  <c r="J55" i="26" s="1"/>
  <c r="P6" i="39" s="1"/>
  <c r="I15" i="26"/>
  <c r="J15" i="26" s="1"/>
  <c r="AA5" i="39" s="1"/>
  <c r="E16" i="26"/>
  <c r="H16" i="26"/>
  <c r="E17" i="26"/>
  <c r="H17" i="26"/>
  <c r="J42" i="26"/>
  <c r="Y6" i="39" s="1"/>
  <c r="I24" i="26"/>
  <c r="I43" i="26"/>
  <c r="E56" i="26"/>
  <c r="H56" i="26"/>
  <c r="E44" i="26"/>
  <c r="H44" i="26"/>
  <c r="D57" i="26"/>
  <c r="C58" i="26"/>
  <c r="D26" i="26"/>
  <c r="C27" i="26"/>
  <c r="D45" i="26"/>
  <c r="C46" i="26"/>
  <c r="D46" i="26" s="1"/>
  <c r="E25" i="26"/>
  <c r="H25" i="26"/>
  <c r="Q153" i="17" l="1"/>
  <c r="Q163" i="17"/>
  <c r="Q166" i="48"/>
  <c r="Q169" i="48"/>
  <c r="L182" i="48"/>
  <c r="M182" i="48" s="1"/>
  <c r="L159" i="48"/>
  <c r="M159" i="48" s="1"/>
  <c r="L188" i="48"/>
  <c r="M188" i="48" s="1"/>
  <c r="N189" i="48"/>
  <c r="O189" i="48" s="1"/>
  <c r="P189" i="48" s="1"/>
  <c r="M189" i="48"/>
  <c r="M11" i="48"/>
  <c r="M14" i="48" s="1"/>
  <c r="M10" i="48"/>
  <c r="M13" i="48" s="1"/>
  <c r="N129" i="48"/>
  <c r="O129" i="48" s="1"/>
  <c r="P129" i="48" s="1"/>
  <c r="L129" i="48"/>
  <c r="M129" i="48" s="1"/>
  <c r="N527" i="48"/>
  <c r="L527" i="48"/>
  <c r="M527" i="48" s="1"/>
  <c r="L248" i="48"/>
  <c r="M248" i="48" s="1"/>
  <c r="N248" i="48"/>
  <c r="O248" i="48" s="1"/>
  <c r="P248" i="48" s="1"/>
  <c r="N39" i="48"/>
  <c r="O39" i="48" s="1"/>
  <c r="P39" i="48" s="1"/>
  <c r="L39" i="48"/>
  <c r="M39" i="48" s="1"/>
  <c r="N287" i="48"/>
  <c r="L287" i="48"/>
  <c r="M287" i="48" s="1"/>
  <c r="N22" i="48"/>
  <c r="L22" i="48"/>
  <c r="M22" i="48" s="1"/>
  <c r="N163" i="48"/>
  <c r="L163" i="48"/>
  <c r="M163" i="48" s="1"/>
  <c r="N45" i="48"/>
  <c r="L45" i="48"/>
  <c r="M45" i="48" s="1"/>
  <c r="N323" i="48"/>
  <c r="O323" i="48" s="1"/>
  <c r="P323" i="48" s="1"/>
  <c r="L323" i="48"/>
  <c r="M323" i="48" s="1"/>
  <c r="N161" i="48"/>
  <c r="O161" i="48" s="1"/>
  <c r="P161" i="48" s="1"/>
  <c r="L161" i="48"/>
  <c r="M161" i="48" s="1"/>
  <c r="G545" i="48"/>
  <c r="K536" i="48"/>
  <c r="G266" i="48"/>
  <c r="K257" i="48"/>
  <c r="N38" i="48"/>
  <c r="O38" i="48" s="1"/>
  <c r="P38" i="48" s="1"/>
  <c r="L38" i="48"/>
  <c r="M38" i="48" s="1"/>
  <c r="N169" i="48"/>
  <c r="O169" i="48" s="1"/>
  <c r="P169" i="48" s="1"/>
  <c r="L169" i="48"/>
  <c r="M169" i="48" s="1"/>
  <c r="O368" i="48"/>
  <c r="P368" i="48" s="1"/>
  <c r="G341" i="48"/>
  <c r="K341" i="48" s="1"/>
  <c r="K332" i="48"/>
  <c r="N164" i="48"/>
  <c r="L164" i="48"/>
  <c r="M164" i="48" s="1"/>
  <c r="O237" i="48"/>
  <c r="P237" i="48" s="1"/>
  <c r="O53" i="48"/>
  <c r="P53" i="48" s="1"/>
  <c r="L247" i="48"/>
  <c r="M247" i="48" s="1"/>
  <c r="N247" i="48"/>
  <c r="O247" i="48" s="1"/>
  <c r="P247" i="48" s="1"/>
  <c r="N166" i="48"/>
  <c r="O166" i="48" s="1"/>
  <c r="P166" i="48" s="1"/>
  <c r="L166" i="48"/>
  <c r="M166" i="48" s="1"/>
  <c r="N324" i="48"/>
  <c r="O324" i="48" s="1"/>
  <c r="P324" i="48" s="1"/>
  <c r="L324" i="48"/>
  <c r="M324" i="48" s="1"/>
  <c r="L167" i="48"/>
  <c r="M167" i="48" s="1"/>
  <c r="N167" i="48"/>
  <c r="O167" i="48" s="1"/>
  <c r="P167" i="48" s="1"/>
  <c r="O149" i="48"/>
  <c r="P149" i="48" s="1"/>
  <c r="O126" i="48"/>
  <c r="P126" i="48" s="1"/>
  <c r="O96" i="48"/>
  <c r="P96" i="48" s="1"/>
  <c r="O44" i="48"/>
  <c r="P44" i="48" s="1"/>
  <c r="G265" i="48"/>
  <c r="K256" i="48"/>
  <c r="N378" i="48"/>
  <c r="O378" i="48" s="1"/>
  <c r="P378" i="48" s="1"/>
  <c r="L378" i="48"/>
  <c r="M378" i="48" s="1"/>
  <c r="G342" i="48"/>
  <c r="K342" i="48" s="1"/>
  <c r="K333" i="48"/>
  <c r="L246" i="48"/>
  <c r="M246" i="48" s="1"/>
  <c r="N246" i="48"/>
  <c r="O246" i="48" s="1"/>
  <c r="P246" i="48" s="1"/>
  <c r="L131" i="48"/>
  <c r="M131" i="48" s="1"/>
  <c r="N131" i="48"/>
  <c r="O131" i="48" s="1"/>
  <c r="P131" i="48" s="1"/>
  <c r="O97" i="48"/>
  <c r="P97" i="48" s="1"/>
  <c r="G396" i="48"/>
  <c r="K387" i="48"/>
  <c r="O502" i="48"/>
  <c r="P502" i="48" s="1"/>
  <c r="L377" i="48"/>
  <c r="M377" i="48" s="1"/>
  <c r="N377" i="48"/>
  <c r="O377" i="48" s="1"/>
  <c r="P377" i="48" s="1"/>
  <c r="G264" i="48"/>
  <c r="K255" i="48"/>
  <c r="L138" i="48"/>
  <c r="M138" i="48" s="1"/>
  <c r="N138" i="48"/>
  <c r="O138" i="48" s="1"/>
  <c r="P138" i="48" s="1"/>
  <c r="O369" i="48"/>
  <c r="P369" i="48" s="1"/>
  <c r="L162" i="48"/>
  <c r="M162" i="48" s="1"/>
  <c r="N162" i="48"/>
  <c r="G395" i="48"/>
  <c r="K386" i="48"/>
  <c r="O124" i="48"/>
  <c r="P124" i="48" s="1"/>
  <c r="N522" i="48"/>
  <c r="O522" i="48" s="1"/>
  <c r="P522" i="48" s="1"/>
  <c r="L522" i="48"/>
  <c r="M522" i="48" s="1"/>
  <c r="O128" i="48"/>
  <c r="P128" i="48" s="1"/>
  <c r="L168" i="48"/>
  <c r="M168" i="48" s="1"/>
  <c r="N168" i="48"/>
  <c r="O315" i="48"/>
  <c r="P315" i="48" s="1"/>
  <c r="O102" i="48"/>
  <c r="P102" i="48" s="1"/>
  <c r="L135" i="48"/>
  <c r="M135" i="48" s="1"/>
  <c r="N135" i="48"/>
  <c r="O135" i="48" s="1"/>
  <c r="P135" i="48" s="1"/>
  <c r="G540" i="48"/>
  <c r="K531" i="48"/>
  <c r="N379" i="48"/>
  <c r="O379" i="48" s="1"/>
  <c r="P379" i="48" s="1"/>
  <c r="L379" i="48"/>
  <c r="M379" i="48" s="1"/>
  <c r="L190" i="48"/>
  <c r="M190" i="48" s="1"/>
  <c r="N190" i="48"/>
  <c r="N165" i="48"/>
  <c r="L165" i="48"/>
  <c r="M165" i="48" s="1"/>
  <c r="L133" i="48"/>
  <c r="M133" i="48" s="1"/>
  <c r="N133" i="48"/>
  <c r="O133" i="48" s="1"/>
  <c r="P133" i="48" s="1"/>
  <c r="O48" i="48"/>
  <c r="P48" i="48" s="1"/>
  <c r="G397" i="48"/>
  <c r="K388" i="48"/>
  <c r="G532" i="48"/>
  <c r="K523" i="48"/>
  <c r="L134" i="48"/>
  <c r="M134" i="48" s="1"/>
  <c r="N134" i="48"/>
  <c r="O134" i="48" s="1"/>
  <c r="P134" i="48" s="1"/>
  <c r="L279" i="48"/>
  <c r="M279" i="48" s="1"/>
  <c r="N279" i="48"/>
  <c r="O279" i="48" s="1"/>
  <c r="P279" i="48" s="1"/>
  <c r="O182" i="48"/>
  <c r="P182" i="48" s="1"/>
  <c r="O151" i="48"/>
  <c r="P151" i="48" s="1"/>
  <c r="O50" i="48"/>
  <c r="P50" i="48" s="1"/>
  <c r="O153" i="48"/>
  <c r="P153" i="48" s="1"/>
  <c r="N130" i="48"/>
  <c r="L130" i="48"/>
  <c r="M130" i="48" s="1"/>
  <c r="N514" i="48"/>
  <c r="L514" i="48"/>
  <c r="M514" i="48" s="1"/>
  <c r="O269" i="48"/>
  <c r="P269" i="48" s="1"/>
  <c r="N325" i="48"/>
  <c r="O325" i="48" s="1"/>
  <c r="P325" i="48" s="1"/>
  <c r="L325" i="48"/>
  <c r="M325" i="48" s="1"/>
  <c r="L288" i="48"/>
  <c r="M288" i="48" s="1"/>
  <c r="N288" i="48"/>
  <c r="L191" i="48"/>
  <c r="M191" i="48" s="1"/>
  <c r="N191" i="48"/>
  <c r="O191" i="48" s="1"/>
  <c r="P191" i="48" s="1"/>
  <c r="O35" i="48"/>
  <c r="P35" i="48" s="1"/>
  <c r="N515" i="48"/>
  <c r="O515" i="48" s="1"/>
  <c r="P515" i="48" s="1"/>
  <c r="L515" i="48"/>
  <c r="M515" i="48" s="1"/>
  <c r="N511" i="48"/>
  <c r="O511" i="48" s="1"/>
  <c r="P511" i="48" s="1"/>
  <c r="L511" i="48"/>
  <c r="M511" i="48" s="1"/>
  <c r="L43" i="48"/>
  <c r="M43" i="48" s="1"/>
  <c r="N43" i="48"/>
  <c r="O43" i="48" s="1"/>
  <c r="P43" i="48" s="1"/>
  <c r="N187" i="48"/>
  <c r="O187" i="48" s="1"/>
  <c r="P187" i="48" s="1"/>
  <c r="L187" i="48"/>
  <c r="M187" i="48" s="1"/>
  <c r="L137" i="48"/>
  <c r="M137" i="48" s="1"/>
  <c r="N137" i="48"/>
  <c r="O137" i="48" s="1"/>
  <c r="P137" i="48" s="1"/>
  <c r="K528" i="48"/>
  <c r="G537" i="48"/>
  <c r="G343" i="48"/>
  <c r="K343" i="48" s="1"/>
  <c r="K334" i="48"/>
  <c r="L280" i="48"/>
  <c r="M280" i="48" s="1"/>
  <c r="N280" i="48"/>
  <c r="O280" i="48" s="1"/>
  <c r="P280" i="48" s="1"/>
  <c r="O306" i="48"/>
  <c r="P306" i="48" s="1"/>
  <c r="O186" i="48"/>
  <c r="P186" i="48" s="1"/>
  <c r="L136" i="48"/>
  <c r="M136" i="48" s="1"/>
  <c r="N136" i="48"/>
  <c r="O136" i="48" s="1"/>
  <c r="P136" i="48" s="1"/>
  <c r="O98" i="48"/>
  <c r="P98" i="48" s="1"/>
  <c r="G533" i="48"/>
  <c r="K524" i="48"/>
  <c r="O159" i="48"/>
  <c r="P159" i="48" s="1"/>
  <c r="N23" i="48"/>
  <c r="L23" i="48"/>
  <c r="M23" i="48" s="1"/>
  <c r="L278" i="48"/>
  <c r="M278" i="48" s="1"/>
  <c r="N278" i="48"/>
  <c r="O278" i="48" s="1"/>
  <c r="P278" i="48" s="1"/>
  <c r="G529" i="48"/>
  <c r="K520" i="48"/>
  <c r="L46" i="48"/>
  <c r="M46" i="48" s="1"/>
  <c r="N46" i="48"/>
  <c r="O46" i="48" s="1"/>
  <c r="P46" i="48" s="1"/>
  <c r="O41" i="48"/>
  <c r="P41" i="48" s="1"/>
  <c r="N42" i="48"/>
  <c r="O42" i="48" s="1"/>
  <c r="P42" i="48" s="1"/>
  <c r="L42" i="48"/>
  <c r="M42" i="48" s="1"/>
  <c r="L519" i="48"/>
  <c r="M519" i="48" s="1"/>
  <c r="N519" i="48"/>
  <c r="O519" i="48" s="1"/>
  <c r="P519" i="48" s="1"/>
  <c r="L289" i="48"/>
  <c r="M289" i="48" s="1"/>
  <c r="N289" i="48"/>
  <c r="H427" i="48"/>
  <c r="H426" i="48"/>
  <c r="H428" i="48"/>
  <c r="G569" i="17"/>
  <c r="G578" i="17" s="1"/>
  <c r="G587" i="17" s="1"/>
  <c r="G596" i="17" s="1"/>
  <c r="G605" i="17" s="1"/>
  <c r="G614" i="17" s="1"/>
  <c r="G623" i="17" s="1"/>
  <c r="G632" i="17" s="1"/>
  <c r="G641" i="17" s="1"/>
  <c r="G650" i="17" s="1"/>
  <c r="G659" i="17" s="1"/>
  <c r="G668" i="17" s="1"/>
  <c r="G677" i="17" s="1"/>
  <c r="G686" i="17" s="1"/>
  <c r="G695" i="17" s="1"/>
  <c r="G704" i="17" s="1"/>
  <c r="G713" i="17" s="1"/>
  <c r="G722" i="17" s="1"/>
  <c r="G731" i="17" s="1"/>
  <c r="G560" i="17"/>
  <c r="G556" i="17"/>
  <c r="I547" i="17"/>
  <c r="I551" i="17"/>
  <c r="I550" i="17"/>
  <c r="G691" i="17"/>
  <c r="G700" i="17" s="1"/>
  <c r="Q165" i="17"/>
  <c r="Q168" i="17"/>
  <c r="Q169" i="17"/>
  <c r="Q166" i="17"/>
  <c r="Q164" i="17"/>
  <c r="Q167" i="17"/>
  <c r="G680" i="17"/>
  <c r="G612" i="17"/>
  <c r="G550" i="17"/>
  <c r="G568" i="17" s="1"/>
  <c r="I528" i="17"/>
  <c r="I537" i="17" s="1"/>
  <c r="H442" i="17"/>
  <c r="H311" i="17"/>
  <c r="H300" i="17"/>
  <c r="J292" i="17"/>
  <c r="I56" i="26"/>
  <c r="J56" i="26" s="1"/>
  <c r="Q6" i="39" s="1"/>
  <c r="I137" i="17"/>
  <c r="I16" i="26"/>
  <c r="J16" i="26" s="1"/>
  <c r="AB5" i="39" s="1"/>
  <c r="I17" i="26"/>
  <c r="J17" i="26" s="1"/>
  <c r="I25" i="26"/>
  <c r="J25" i="26" s="1"/>
  <c r="O5" i="39" s="1"/>
  <c r="J24" i="26"/>
  <c r="N5" i="39" s="1"/>
  <c r="I44" i="26"/>
  <c r="J43" i="26"/>
  <c r="Z6" i="39" s="1"/>
  <c r="E46" i="26"/>
  <c r="H46" i="26"/>
  <c r="E45" i="26"/>
  <c r="H45" i="26"/>
  <c r="D27" i="26"/>
  <c r="C28" i="26"/>
  <c r="E26" i="26"/>
  <c r="H26" i="26"/>
  <c r="D58" i="26"/>
  <c r="C59" i="26"/>
  <c r="D59" i="26" s="1"/>
  <c r="H57" i="26"/>
  <c r="E57" i="26"/>
  <c r="O162" i="48" l="1"/>
  <c r="P162" i="48" s="1"/>
  <c r="N387" i="48"/>
  <c r="O387" i="48" s="1"/>
  <c r="P387" i="48" s="1"/>
  <c r="L387" i="48"/>
  <c r="M387" i="48" s="1"/>
  <c r="N256" i="48"/>
  <c r="O256" i="48" s="1"/>
  <c r="P256" i="48" s="1"/>
  <c r="L256" i="48"/>
  <c r="M256" i="48" s="1"/>
  <c r="O164" i="48"/>
  <c r="P164" i="48" s="1"/>
  <c r="G563" i="48"/>
  <c r="K545" i="48"/>
  <c r="G554" i="48"/>
  <c r="K554" i="48" s="1"/>
  <c r="O288" i="48"/>
  <c r="P288" i="48" s="1"/>
  <c r="N523" i="48"/>
  <c r="O523" i="48" s="1"/>
  <c r="P523" i="48" s="1"/>
  <c r="L523" i="48"/>
  <c r="M523" i="48" s="1"/>
  <c r="O168" i="48"/>
  <c r="P168" i="48" s="1"/>
  <c r="G405" i="48"/>
  <c r="K396" i="48"/>
  <c r="G274" i="48"/>
  <c r="K274" i="48" s="1"/>
  <c r="G283" i="48"/>
  <c r="K265" i="48"/>
  <c r="N332" i="48"/>
  <c r="O332" i="48" s="1"/>
  <c r="P332" i="48" s="1"/>
  <c r="L332" i="48"/>
  <c r="M332" i="48" s="1"/>
  <c r="O22" i="48"/>
  <c r="P22" i="48" s="1"/>
  <c r="K532" i="48"/>
  <c r="G541" i="48"/>
  <c r="N341" i="48"/>
  <c r="O341" i="48" s="1"/>
  <c r="P341" i="48" s="1"/>
  <c r="L341" i="48"/>
  <c r="M341" i="48" s="1"/>
  <c r="N334" i="48"/>
  <c r="O334" i="48" s="1"/>
  <c r="P334" i="48" s="1"/>
  <c r="L334" i="48"/>
  <c r="M334" i="48" s="1"/>
  <c r="L388" i="48"/>
  <c r="M388" i="48" s="1"/>
  <c r="N388" i="48"/>
  <c r="O388" i="48" s="1"/>
  <c r="P388" i="48" s="1"/>
  <c r="O287" i="48"/>
  <c r="P287" i="48" s="1"/>
  <c r="G406" i="48"/>
  <c r="K397" i="48"/>
  <c r="N531" i="48"/>
  <c r="O531" i="48" s="1"/>
  <c r="P531" i="48" s="1"/>
  <c r="L531" i="48"/>
  <c r="M531" i="48" s="1"/>
  <c r="G546" i="48"/>
  <c r="K537" i="48"/>
  <c r="K540" i="48"/>
  <c r="G549" i="48"/>
  <c r="K533" i="48"/>
  <c r="G542" i="48"/>
  <c r="L528" i="48"/>
  <c r="M528" i="48" s="1"/>
  <c r="N528" i="48"/>
  <c r="O528" i="48" s="1"/>
  <c r="P528" i="48" s="1"/>
  <c r="L255" i="48"/>
  <c r="M255" i="48" s="1"/>
  <c r="N255" i="48"/>
  <c r="O255" i="48" s="1"/>
  <c r="P255" i="48" s="1"/>
  <c r="L520" i="48"/>
  <c r="M520" i="48" s="1"/>
  <c r="N520" i="48"/>
  <c r="O289" i="48"/>
  <c r="P289" i="48" s="1"/>
  <c r="G538" i="48"/>
  <c r="K529" i="48"/>
  <c r="G282" i="48"/>
  <c r="G273" i="48"/>
  <c r="K273" i="48" s="1"/>
  <c r="K264" i="48"/>
  <c r="O514" i="48"/>
  <c r="P514" i="48" s="1"/>
  <c r="L333" i="48"/>
  <c r="M333" i="48" s="1"/>
  <c r="N333" i="48"/>
  <c r="O333" i="48" s="1"/>
  <c r="P333" i="48" s="1"/>
  <c r="N342" i="48"/>
  <c r="O342" i="48" s="1"/>
  <c r="P342" i="48" s="1"/>
  <c r="L342" i="48"/>
  <c r="M342" i="48" s="1"/>
  <c r="N257" i="48"/>
  <c r="L257" i="48"/>
  <c r="M257" i="48" s="1"/>
  <c r="O45" i="48"/>
  <c r="P45" i="48" s="1"/>
  <c r="O527" i="48"/>
  <c r="P527" i="48" s="1"/>
  <c r="L524" i="48"/>
  <c r="M524" i="48" s="1"/>
  <c r="N524" i="48"/>
  <c r="O524" i="48" s="1"/>
  <c r="P524" i="48" s="1"/>
  <c r="L343" i="48"/>
  <c r="M343" i="48" s="1"/>
  <c r="N343" i="48"/>
  <c r="O343" i="48" s="1"/>
  <c r="P343" i="48" s="1"/>
  <c r="O130" i="48"/>
  <c r="P130" i="48" s="1"/>
  <c r="O165" i="48"/>
  <c r="P165" i="48" s="1"/>
  <c r="L386" i="48"/>
  <c r="M386" i="48" s="1"/>
  <c r="N386" i="48"/>
  <c r="O386" i="48" s="1"/>
  <c r="P386" i="48" s="1"/>
  <c r="G275" i="48"/>
  <c r="K275" i="48" s="1"/>
  <c r="G284" i="48"/>
  <c r="K266" i="48"/>
  <c r="O23" i="48"/>
  <c r="P23" i="48" s="1"/>
  <c r="O190" i="48"/>
  <c r="P190" i="48" s="1"/>
  <c r="G404" i="48"/>
  <c r="K395" i="48"/>
  <c r="L536" i="48"/>
  <c r="M536" i="48" s="1"/>
  <c r="N536" i="48"/>
  <c r="O536" i="48" s="1"/>
  <c r="P536" i="48" s="1"/>
  <c r="O163" i="48"/>
  <c r="P163" i="48" s="1"/>
  <c r="H436" i="48"/>
  <c r="H437" i="48"/>
  <c r="H435" i="48"/>
  <c r="I556" i="17"/>
  <c r="I565" i="17"/>
  <c r="I574" i="17" s="1"/>
  <c r="I583" i="17" s="1"/>
  <c r="I592" i="17" s="1"/>
  <c r="I601" i="17" s="1"/>
  <c r="I610" i="17" s="1"/>
  <c r="I619" i="17" s="1"/>
  <c r="I628" i="17" s="1"/>
  <c r="I637" i="17" s="1"/>
  <c r="I646" i="17" s="1"/>
  <c r="I655" i="17" s="1"/>
  <c r="I664" i="17" s="1"/>
  <c r="I673" i="17" s="1"/>
  <c r="I682" i="17" s="1"/>
  <c r="I691" i="17" s="1"/>
  <c r="I700" i="17" s="1"/>
  <c r="I709" i="17" s="1"/>
  <c r="I718" i="17" s="1"/>
  <c r="I727" i="17" s="1"/>
  <c r="I559" i="17"/>
  <c r="I568" i="17"/>
  <c r="I577" i="17" s="1"/>
  <c r="I586" i="17" s="1"/>
  <c r="I595" i="17" s="1"/>
  <c r="I604" i="17" s="1"/>
  <c r="I613" i="17" s="1"/>
  <c r="I622" i="17" s="1"/>
  <c r="I631" i="17" s="1"/>
  <c r="I640" i="17" s="1"/>
  <c r="I649" i="17" s="1"/>
  <c r="I658" i="17" s="1"/>
  <c r="I667" i="17" s="1"/>
  <c r="I676" i="17" s="1"/>
  <c r="I685" i="17" s="1"/>
  <c r="I694" i="17" s="1"/>
  <c r="I703" i="17" s="1"/>
  <c r="I712" i="17" s="1"/>
  <c r="I721" i="17" s="1"/>
  <c r="I730" i="17" s="1"/>
  <c r="I569" i="17"/>
  <c r="I578" i="17" s="1"/>
  <c r="I587" i="17" s="1"/>
  <c r="I560" i="17"/>
  <c r="G709" i="17"/>
  <c r="G689" i="17"/>
  <c r="G621" i="17"/>
  <c r="G577" i="17"/>
  <c r="G559" i="17"/>
  <c r="H451" i="17"/>
  <c r="H320" i="17"/>
  <c r="H309" i="17"/>
  <c r="J301" i="17"/>
  <c r="I26" i="26"/>
  <c r="J26" i="26" s="1"/>
  <c r="P5" i="39" s="1"/>
  <c r="I45" i="26"/>
  <c r="J45" i="26" s="1"/>
  <c r="AB6" i="39" s="1"/>
  <c r="I46" i="26"/>
  <c r="J46" i="26" s="1"/>
  <c r="J44" i="26"/>
  <c r="AA6" i="39" s="1"/>
  <c r="I57" i="26"/>
  <c r="D28" i="26"/>
  <c r="C29" i="26"/>
  <c r="E27" i="26"/>
  <c r="H27" i="26"/>
  <c r="E58" i="26"/>
  <c r="H58" i="26"/>
  <c r="E59" i="26"/>
  <c r="H59" i="26"/>
  <c r="N554" i="48" l="1"/>
  <c r="O554" i="48" s="1"/>
  <c r="P554" i="48" s="1"/>
  <c r="L554" i="48"/>
  <c r="M554" i="48" s="1"/>
  <c r="N265" i="48"/>
  <c r="O265" i="48" s="1"/>
  <c r="P265" i="48" s="1"/>
  <c r="L265" i="48"/>
  <c r="M265" i="48" s="1"/>
  <c r="N545" i="48"/>
  <c r="O545" i="48" s="1"/>
  <c r="P545" i="48" s="1"/>
  <c r="L545" i="48"/>
  <c r="M545" i="48" s="1"/>
  <c r="G292" i="48"/>
  <c r="K283" i="48"/>
  <c r="G572" i="48"/>
  <c r="K563" i="48"/>
  <c r="L275" i="48"/>
  <c r="M275" i="48" s="1"/>
  <c r="N275" i="48"/>
  <c r="N273" i="48"/>
  <c r="O273" i="48" s="1"/>
  <c r="P273" i="48" s="1"/>
  <c r="L273" i="48"/>
  <c r="M273" i="48" s="1"/>
  <c r="N529" i="48"/>
  <c r="O529" i="48" s="1"/>
  <c r="P529" i="48" s="1"/>
  <c r="L529" i="48"/>
  <c r="M529" i="48" s="1"/>
  <c r="L274" i="48"/>
  <c r="M274" i="48" s="1"/>
  <c r="N274" i="48"/>
  <c r="O274" i="48" s="1"/>
  <c r="P274" i="48" s="1"/>
  <c r="N533" i="48"/>
  <c r="O533" i="48" s="1"/>
  <c r="P533" i="48" s="1"/>
  <c r="L533" i="48"/>
  <c r="M533" i="48" s="1"/>
  <c r="L395" i="48"/>
  <c r="M395" i="48" s="1"/>
  <c r="N395" i="48"/>
  <c r="O395" i="48" s="1"/>
  <c r="P395" i="48" s="1"/>
  <c r="G547" i="48"/>
  <c r="K538" i="48"/>
  <c r="L540" i="48"/>
  <c r="M540" i="48" s="1"/>
  <c r="N540" i="48"/>
  <c r="L396" i="48"/>
  <c r="M396" i="48" s="1"/>
  <c r="N396" i="48"/>
  <c r="O396" i="48" s="1"/>
  <c r="P396" i="48" s="1"/>
  <c r="L537" i="48"/>
  <c r="M537" i="48" s="1"/>
  <c r="N537" i="48"/>
  <c r="G414" i="48"/>
  <c r="K405" i="48"/>
  <c r="G551" i="48"/>
  <c r="K542" i="48"/>
  <c r="G555" i="48"/>
  <c r="K555" i="48" s="1"/>
  <c r="G564" i="48"/>
  <c r="K546" i="48"/>
  <c r="K549" i="48"/>
  <c r="G567" i="48"/>
  <c r="G558" i="48"/>
  <c r="K558" i="48" s="1"/>
  <c r="O520" i="48"/>
  <c r="P520" i="48" s="1"/>
  <c r="K541" i="48"/>
  <c r="G550" i="48"/>
  <c r="O257" i="48"/>
  <c r="P257" i="48" s="1"/>
  <c r="N532" i="48"/>
  <c r="L532" i="48"/>
  <c r="M532" i="48" s="1"/>
  <c r="G293" i="48"/>
  <c r="K284" i="48"/>
  <c r="L397" i="48"/>
  <c r="M397" i="48" s="1"/>
  <c r="N397" i="48"/>
  <c r="O397" i="48" s="1"/>
  <c r="P397" i="48" s="1"/>
  <c r="L264" i="48"/>
  <c r="M264" i="48" s="1"/>
  <c r="N264" i="48"/>
  <c r="O264" i="48" s="1"/>
  <c r="P264" i="48" s="1"/>
  <c r="G291" i="48"/>
  <c r="K282" i="48"/>
  <c r="G413" i="48"/>
  <c r="K404" i="48"/>
  <c r="N266" i="48"/>
  <c r="O266" i="48" s="1"/>
  <c r="P266" i="48" s="1"/>
  <c r="L266" i="48"/>
  <c r="M266" i="48" s="1"/>
  <c r="G415" i="48"/>
  <c r="K406" i="48"/>
  <c r="H444" i="48"/>
  <c r="H446" i="48"/>
  <c r="H445" i="48"/>
  <c r="G718" i="17"/>
  <c r="G727" i="17" s="1"/>
  <c r="G698" i="17"/>
  <c r="G630" i="17"/>
  <c r="I596" i="17"/>
  <c r="G586" i="17"/>
  <c r="H460" i="17"/>
  <c r="H329" i="17"/>
  <c r="H318" i="17"/>
  <c r="J310" i="17"/>
  <c r="I58" i="26"/>
  <c r="I27" i="26"/>
  <c r="J27" i="26" s="1"/>
  <c r="Q5" i="39" s="1"/>
  <c r="I59" i="26"/>
  <c r="J59" i="26" s="1"/>
  <c r="T6" i="39" s="1"/>
  <c r="J57" i="26"/>
  <c r="R6" i="39" s="1"/>
  <c r="J58" i="26"/>
  <c r="S6" i="39" s="1"/>
  <c r="E28" i="26"/>
  <c r="H28" i="26"/>
  <c r="I28" i="26" s="1"/>
  <c r="C30" i="26"/>
  <c r="D30" i="26" s="1"/>
  <c r="D29" i="26"/>
  <c r="O532" i="48" l="1"/>
  <c r="P532" i="48" s="1"/>
  <c r="L555" i="48"/>
  <c r="M555" i="48" s="1"/>
  <c r="N555" i="48"/>
  <c r="O555" i="48" s="1"/>
  <c r="P555" i="48" s="1"/>
  <c r="N404" i="48"/>
  <c r="O404" i="48" s="1"/>
  <c r="P404" i="48" s="1"/>
  <c r="L404" i="48"/>
  <c r="M404" i="48" s="1"/>
  <c r="L282" i="48"/>
  <c r="M282" i="48" s="1"/>
  <c r="N282" i="48"/>
  <c r="O282" i="48" s="1"/>
  <c r="P282" i="48" s="1"/>
  <c r="G300" i="48"/>
  <c r="K291" i="48"/>
  <c r="L283" i="48"/>
  <c r="M283" i="48" s="1"/>
  <c r="N283" i="48"/>
  <c r="O283" i="48" s="1"/>
  <c r="P283" i="48" s="1"/>
  <c r="K547" i="48"/>
  <c r="G565" i="48"/>
  <c r="G556" i="48"/>
  <c r="K556" i="48" s="1"/>
  <c r="O537" i="48"/>
  <c r="P537" i="48" s="1"/>
  <c r="G301" i="48"/>
  <c r="K292" i="48"/>
  <c r="G559" i="48"/>
  <c r="K559" i="48" s="1"/>
  <c r="G568" i="48"/>
  <c r="K550" i="48"/>
  <c r="G422" i="48"/>
  <c r="K413" i="48"/>
  <c r="N405" i="48"/>
  <c r="O405" i="48" s="1"/>
  <c r="P405" i="48" s="1"/>
  <c r="L405" i="48"/>
  <c r="M405" i="48" s="1"/>
  <c r="N558" i="48"/>
  <c r="O558" i="48" s="1"/>
  <c r="P558" i="48" s="1"/>
  <c r="L558" i="48"/>
  <c r="M558" i="48" s="1"/>
  <c r="N541" i="48"/>
  <c r="O541" i="48" s="1"/>
  <c r="P541" i="48" s="1"/>
  <c r="L541" i="48"/>
  <c r="M541" i="48" s="1"/>
  <c r="G576" i="48"/>
  <c r="K567" i="48"/>
  <c r="O275" i="48"/>
  <c r="P275" i="48" s="1"/>
  <c r="N563" i="48"/>
  <c r="L563" i="48"/>
  <c r="M563" i="48" s="1"/>
  <c r="L406" i="48"/>
  <c r="M406" i="48" s="1"/>
  <c r="N406" i="48"/>
  <c r="O406" i="48" s="1"/>
  <c r="P406" i="48" s="1"/>
  <c r="L284" i="48"/>
  <c r="M284" i="48" s="1"/>
  <c r="N284" i="48"/>
  <c r="N549" i="48"/>
  <c r="O549" i="48" s="1"/>
  <c r="P549" i="48" s="1"/>
  <c r="L549" i="48"/>
  <c r="M549" i="48" s="1"/>
  <c r="O540" i="48"/>
  <c r="P540" i="48" s="1"/>
  <c r="L542" i="48"/>
  <c r="M542" i="48" s="1"/>
  <c r="N542" i="48"/>
  <c r="O542" i="48" s="1"/>
  <c r="P542" i="48" s="1"/>
  <c r="G569" i="48"/>
  <c r="G560" i="48"/>
  <c r="K560" i="48" s="1"/>
  <c r="K551" i="48"/>
  <c r="G424" i="48"/>
  <c r="K415" i="48"/>
  <c r="G302" i="48"/>
  <c r="K293" i="48"/>
  <c r="N546" i="48"/>
  <c r="L546" i="48"/>
  <c r="M546" i="48" s="1"/>
  <c r="G581" i="48"/>
  <c r="K572" i="48"/>
  <c r="G423" i="48"/>
  <c r="K414" i="48"/>
  <c r="K564" i="48"/>
  <c r="G573" i="48"/>
  <c r="N538" i="48"/>
  <c r="O538" i="48" s="1"/>
  <c r="P538" i="48" s="1"/>
  <c r="L538" i="48"/>
  <c r="M538" i="48" s="1"/>
  <c r="H455" i="48"/>
  <c r="H454" i="48"/>
  <c r="H453" i="48"/>
  <c r="AJ131" i="39"/>
  <c r="G707" i="17"/>
  <c r="G639" i="17"/>
  <c r="I605" i="17"/>
  <c r="G595" i="17"/>
  <c r="I546" i="17"/>
  <c r="I555" i="17" s="1"/>
  <c r="H469" i="17"/>
  <c r="H478" i="17" s="1"/>
  <c r="H338" i="17"/>
  <c r="H327" i="17"/>
  <c r="J319" i="17"/>
  <c r="AH13" i="39"/>
  <c r="AH56" i="39"/>
  <c r="H75" i="40" s="1"/>
  <c r="I75" i="40" s="1"/>
  <c r="AJ101" i="39"/>
  <c r="J146" i="40" s="1"/>
  <c r="L146" i="40" s="1"/>
  <c r="AJ415" i="39"/>
  <c r="AJ196" i="39"/>
  <c r="AJ117" i="39"/>
  <c r="J162" i="40" s="1"/>
  <c r="L162" i="40" s="1"/>
  <c r="AH237" i="39"/>
  <c r="AJ147" i="39"/>
  <c r="AJ181" i="39"/>
  <c r="J236" i="40" s="1"/>
  <c r="M236" i="40" s="1"/>
  <c r="AJ132" i="39"/>
  <c r="J177" i="40" s="1"/>
  <c r="AJ280" i="39"/>
  <c r="J353" i="40" s="1"/>
  <c r="M353" i="40" s="1"/>
  <c r="AH29" i="39"/>
  <c r="H48" i="40" s="1"/>
  <c r="I48" i="40" s="1"/>
  <c r="AJ364" i="39"/>
  <c r="J441" i="40" s="1"/>
  <c r="AJ188" i="39"/>
  <c r="AH242" i="39"/>
  <c r="H311" i="40" s="1"/>
  <c r="AJ297" i="39"/>
  <c r="J370" i="40" s="1"/>
  <c r="K370" i="40" s="1"/>
  <c r="AJ345" i="39"/>
  <c r="J422" i="40" s="1"/>
  <c r="AH232" i="39"/>
  <c r="H301" i="40" s="1"/>
  <c r="I301" i="40" s="1"/>
  <c r="AJ421" i="39"/>
  <c r="J503" i="40" s="1"/>
  <c r="M503" i="40" s="1"/>
  <c r="AJ164" i="39"/>
  <c r="J217" i="40" s="1"/>
  <c r="L217" i="40" s="1"/>
  <c r="AJ301" i="39"/>
  <c r="J374" i="40" s="1"/>
  <c r="M374" i="40" s="1"/>
  <c r="AH25" i="39"/>
  <c r="H44" i="40" s="1"/>
  <c r="I44" i="40" s="1"/>
  <c r="AJ102" i="39"/>
  <c r="J147" i="40" s="1"/>
  <c r="L147" i="40" s="1"/>
  <c r="AH253" i="39"/>
  <c r="H322" i="40" s="1"/>
  <c r="I322" i="40" s="1"/>
  <c r="AJ140" i="39"/>
  <c r="J185" i="40" s="1"/>
  <c r="M185" i="40" s="1"/>
  <c r="AH33" i="39"/>
  <c r="AJ143" i="39"/>
  <c r="J188" i="40" s="1"/>
  <c r="AJ351" i="39"/>
  <c r="J428" i="40" s="1"/>
  <c r="M428" i="40" s="1"/>
  <c r="AH73" i="39"/>
  <c r="H92" i="40" s="1"/>
  <c r="I92" i="40" s="1"/>
  <c r="AH67" i="39"/>
  <c r="H86" i="40" s="1"/>
  <c r="I86" i="40" s="1"/>
  <c r="AJ449" i="39"/>
  <c r="AH36" i="39"/>
  <c r="H55" i="40" s="1"/>
  <c r="I55" i="40" s="1"/>
  <c r="AH213" i="39"/>
  <c r="H282" i="40" s="1"/>
  <c r="I282" i="40" s="1"/>
  <c r="AH15" i="39"/>
  <c r="H34" i="40" s="1"/>
  <c r="I34" i="40" s="1"/>
  <c r="AJ452" i="39"/>
  <c r="J567" i="40" s="1"/>
  <c r="M567" i="40" s="1"/>
  <c r="AJ408" i="39"/>
  <c r="J490" i="40" s="1"/>
  <c r="AJ437" i="39"/>
  <c r="J552" i="40" s="1"/>
  <c r="L552" i="40" s="1"/>
  <c r="AH256" i="39"/>
  <c r="AJ468" i="39"/>
  <c r="AH66" i="39"/>
  <c r="H85" i="40" s="1"/>
  <c r="I85" i="40" s="1"/>
  <c r="AJ116" i="39"/>
  <c r="J161" i="40" s="1"/>
  <c r="K161" i="40" s="1"/>
  <c r="K131" i="40" s="1"/>
  <c r="AJ167" i="39"/>
  <c r="J220" i="40" s="1"/>
  <c r="K220" i="40" s="1"/>
  <c r="AH212" i="39"/>
  <c r="AJ447" i="39"/>
  <c r="AJ176" i="39"/>
  <c r="J231" i="40" s="1"/>
  <c r="AJ148" i="39"/>
  <c r="J193" i="40" s="1"/>
  <c r="M193" i="40" s="1"/>
  <c r="AJ194" i="39"/>
  <c r="J249" i="40" s="1"/>
  <c r="AH83" i="39"/>
  <c r="H102" i="40" s="1"/>
  <c r="I102" i="40" s="1"/>
  <c r="AJ378" i="39"/>
  <c r="J460" i="40" s="1"/>
  <c r="AJ363" i="39"/>
  <c r="J440" i="40" s="1"/>
  <c r="AH65" i="39"/>
  <c r="AJ383" i="39"/>
  <c r="J465" i="40" s="1"/>
  <c r="L465" i="40" s="1"/>
  <c r="AH209" i="39"/>
  <c r="H278" i="40" s="1"/>
  <c r="I278" i="40" s="1"/>
  <c r="AJ330" i="39"/>
  <c r="J407" i="40" s="1"/>
  <c r="AJ275" i="39"/>
  <c r="J348" i="40" s="1"/>
  <c r="K348" i="40" s="1"/>
  <c r="AJ114" i="39"/>
  <c r="J159" i="40" s="1"/>
  <c r="K159" i="40" s="1"/>
  <c r="K129" i="40" s="1"/>
  <c r="AJ98" i="39"/>
  <c r="J143" i="40" s="1"/>
  <c r="L143" i="40" s="1"/>
  <c r="AJ400" i="39"/>
  <c r="AJ454" i="39"/>
  <c r="J569" i="40" s="1"/>
  <c r="K569" i="40" s="1"/>
  <c r="AJ407" i="39"/>
  <c r="AH49" i="39"/>
  <c r="H68" i="40" s="1"/>
  <c r="I68" i="40" s="1"/>
  <c r="AH211" i="39"/>
  <c r="AJ112" i="39"/>
  <c r="J157" i="40" s="1"/>
  <c r="M157" i="40" s="1"/>
  <c r="M127" i="40" s="1"/>
  <c r="AH47" i="39"/>
  <c r="H66" i="40" s="1"/>
  <c r="I66" i="40" s="1"/>
  <c r="AH77" i="39"/>
  <c r="AJ94" i="39"/>
  <c r="J139" i="40" s="1"/>
  <c r="AH69" i="39"/>
  <c r="AJ347" i="39"/>
  <c r="AH239" i="39"/>
  <c r="AJ285" i="39"/>
  <c r="J358" i="40" s="1"/>
  <c r="L358" i="40" s="1"/>
  <c r="AJ197" i="39"/>
  <c r="AJ448" i="39"/>
  <c r="AH59" i="39"/>
  <c r="H78" i="40" s="1"/>
  <c r="I78" i="40" s="1"/>
  <c r="AH244" i="39"/>
  <c r="AH208" i="39"/>
  <c r="AJ190" i="39"/>
  <c r="AJ160" i="39"/>
  <c r="J213" i="40" s="1"/>
  <c r="L213" i="40" s="1"/>
  <c r="AJ463" i="39"/>
  <c r="J578" i="40" s="1"/>
  <c r="AH224" i="39"/>
  <c r="H293" i="40" s="1"/>
  <c r="I293" i="40" s="1"/>
  <c r="AJ329" i="39"/>
  <c r="J406" i="40" s="1"/>
  <c r="AJ128" i="39"/>
  <c r="J173" i="40" s="1"/>
  <c r="M173" i="40" s="1"/>
  <c r="AH229" i="39"/>
  <c r="H298" i="40" s="1"/>
  <c r="I298" i="40" s="1"/>
  <c r="AJ477" i="39"/>
  <c r="AH216" i="39"/>
  <c r="H285" i="40" s="1"/>
  <c r="I285" i="40" s="1"/>
  <c r="AJ183" i="39"/>
  <c r="J238" i="40" s="1"/>
  <c r="AJ309" i="39"/>
  <c r="AJ341" i="39"/>
  <c r="J418" i="40" s="1"/>
  <c r="M418" i="40" s="1"/>
  <c r="AH217" i="39"/>
  <c r="H286" i="40" s="1"/>
  <c r="I286" i="40" s="1"/>
  <c r="AJ473" i="39"/>
  <c r="AJ273" i="39"/>
  <c r="J346" i="40" s="1"/>
  <c r="AJ445" i="39"/>
  <c r="J560" i="40" s="1"/>
  <c r="K560" i="40" s="1"/>
  <c r="AH250" i="39"/>
  <c r="H319" i="40" s="1"/>
  <c r="I319" i="40" s="1"/>
  <c r="AJ166" i="39"/>
  <c r="J219" i="40" s="1"/>
  <c r="K219" i="40" s="1"/>
  <c r="AH8" i="39"/>
  <c r="AJ195" i="39"/>
  <c r="AJ107" i="39"/>
  <c r="AH46" i="39"/>
  <c r="H65" i="40" s="1"/>
  <c r="I65" i="40" s="1"/>
  <c r="AJ312" i="39"/>
  <c r="J385" i="40" s="1"/>
  <c r="AJ388" i="39"/>
  <c r="J470" i="40" s="1"/>
  <c r="L470" i="40" s="1"/>
  <c r="AJ173" i="39"/>
  <c r="J226" i="40" s="1"/>
  <c r="L226" i="40" s="1"/>
  <c r="AH38" i="39"/>
  <c r="H57" i="40" s="1"/>
  <c r="I57" i="40" s="1"/>
  <c r="AH228" i="39"/>
  <c r="H297" i="40" s="1"/>
  <c r="I297" i="40" s="1"/>
  <c r="AH62" i="39"/>
  <c r="H81" i="40" s="1"/>
  <c r="I81" i="40" s="1"/>
  <c r="AH481" i="39"/>
  <c r="AJ130" i="39"/>
  <c r="J175" i="40" s="1"/>
  <c r="M175" i="40" s="1"/>
  <c r="AJ138" i="39"/>
  <c r="AH214" i="39"/>
  <c r="AJ290" i="39"/>
  <c r="J363" i="40" s="1"/>
  <c r="M363" i="40" s="1"/>
  <c r="AJ357" i="39"/>
  <c r="AH31" i="39"/>
  <c r="AJ335" i="39"/>
  <c r="J412" i="40" s="1"/>
  <c r="M412" i="40" s="1"/>
  <c r="AJ394" i="39"/>
  <c r="J476" i="40" s="1"/>
  <c r="L476" i="40" s="1"/>
  <c r="AJ163" i="39"/>
  <c r="J216" i="40" s="1"/>
  <c r="M216" i="40" s="1"/>
  <c r="AH22" i="39"/>
  <c r="H41" i="40" s="1"/>
  <c r="I41" i="40" s="1"/>
  <c r="AH43" i="39"/>
  <c r="H62" i="40" s="1"/>
  <c r="I62" i="40" s="1"/>
  <c r="AH221" i="39"/>
  <c r="H290" i="40" s="1"/>
  <c r="I290" i="40" s="1"/>
  <c r="AJ390" i="39"/>
  <c r="J472" i="40" s="1"/>
  <c r="L472" i="40" s="1"/>
  <c r="AJ123" i="39"/>
  <c r="J168" i="40" s="1"/>
  <c r="AJ385" i="39"/>
  <c r="J467" i="40" s="1"/>
  <c r="M467" i="40" s="1"/>
  <c r="AH37" i="39"/>
  <c r="H56" i="40" s="1"/>
  <c r="I56" i="40" s="1"/>
  <c r="I19" i="40" s="1"/>
  <c r="AJ179" i="39"/>
  <c r="J234" i="40" s="1"/>
  <c r="K234" i="40" s="1"/>
  <c r="AJ100" i="39"/>
  <c r="J145" i="40" s="1"/>
  <c r="L145" i="40" s="1"/>
  <c r="AJ413" i="39"/>
  <c r="AJ412" i="39"/>
  <c r="J494" i="40" s="1"/>
  <c r="AJ104" i="39"/>
  <c r="J149" i="40" s="1"/>
  <c r="M149" i="40" s="1"/>
  <c r="AJ308" i="39"/>
  <c r="J381" i="40" s="1"/>
  <c r="AJ441" i="39"/>
  <c r="AH249" i="39"/>
  <c r="AJ416" i="39"/>
  <c r="J498" i="40" s="1"/>
  <c r="AJ402" i="39"/>
  <c r="J484" i="40" s="1"/>
  <c r="K484" i="40" s="1"/>
  <c r="AJ165" i="39"/>
  <c r="J218" i="40" s="1"/>
  <c r="M218" i="40" s="1"/>
  <c r="AJ272" i="39"/>
  <c r="AJ403" i="39"/>
  <c r="J485" i="40" s="1"/>
  <c r="M485" i="40" s="1"/>
  <c r="AH24" i="39"/>
  <c r="H43" i="40" s="1"/>
  <c r="I43" i="40" s="1"/>
  <c r="AJ386" i="39"/>
  <c r="J468" i="40" s="1"/>
  <c r="M468" i="40" s="1"/>
  <c r="AH226" i="39"/>
  <c r="AH45" i="39"/>
  <c r="AJ434" i="39"/>
  <c r="J549" i="40" s="1"/>
  <c r="L549" i="40" s="1"/>
  <c r="AJ146" i="39"/>
  <c r="AH34" i="39"/>
  <c r="AJ178" i="39"/>
  <c r="J233" i="40" s="1"/>
  <c r="K233" i="40" s="1"/>
  <c r="AH230" i="39"/>
  <c r="AJ274" i="39"/>
  <c r="J347" i="40" s="1"/>
  <c r="AJ360" i="39"/>
  <c r="J437" i="40" s="1"/>
  <c r="AJ311" i="39"/>
  <c r="AJ304" i="39"/>
  <c r="AJ361" i="39"/>
  <c r="AJ270" i="39"/>
  <c r="J343" i="40" s="1"/>
  <c r="AH257" i="39"/>
  <c r="H326" i="40" s="1"/>
  <c r="I326" i="40" s="1"/>
  <c r="AJ121" i="39"/>
  <c r="J166" i="40" s="1"/>
  <c r="AJ192" i="39"/>
  <c r="J247" i="40" s="1"/>
  <c r="AJ461" i="39"/>
  <c r="AH207" i="39"/>
  <c r="AH204" i="39"/>
  <c r="AJ368" i="39"/>
  <c r="AJ418" i="39"/>
  <c r="AJ458" i="39"/>
  <c r="AJ462" i="39"/>
  <c r="J577" i="40" s="1"/>
  <c r="AH19" i="39"/>
  <c r="AJ375" i="39"/>
  <c r="J457" i="40" s="1"/>
  <c r="AH218" i="39"/>
  <c r="H287" i="40" s="1"/>
  <c r="I287" i="40" s="1"/>
  <c r="AH219" i="39"/>
  <c r="AJ399" i="39"/>
  <c r="J481" i="40" s="1"/>
  <c r="M481" i="40" s="1"/>
  <c r="AJ356" i="39"/>
  <c r="AJ467" i="39"/>
  <c r="J582" i="40" s="1"/>
  <c r="AJ161" i="39"/>
  <c r="J214" i="40" s="1"/>
  <c r="K214" i="40" s="1"/>
  <c r="AJ144" i="39"/>
  <c r="J189" i="40" s="1"/>
  <c r="AH52" i="39"/>
  <c r="H71" i="40" s="1"/>
  <c r="I71" i="40" s="1"/>
  <c r="AJ174" i="39"/>
  <c r="J227" i="40" s="1"/>
  <c r="M227" i="40" s="1"/>
  <c r="AJ332" i="39"/>
  <c r="J409" i="40" s="1"/>
  <c r="L409" i="40" s="1"/>
  <c r="AJ382" i="39"/>
  <c r="J464" i="40" s="1"/>
  <c r="M464" i="40" s="1"/>
  <c r="AH215" i="39"/>
  <c r="H284" i="40" s="1"/>
  <c r="I284" i="40" s="1"/>
  <c r="AJ405" i="39"/>
  <c r="J487" i="40" s="1"/>
  <c r="M487" i="40" s="1"/>
  <c r="AH54" i="39"/>
  <c r="H73" i="40" s="1"/>
  <c r="I73" i="40" s="1"/>
  <c r="AH82" i="39"/>
  <c r="H101" i="40" s="1"/>
  <c r="I101" i="40" s="1"/>
  <c r="J585" i="40"/>
  <c r="AJ350" i="39"/>
  <c r="J427" i="40" s="1"/>
  <c r="K427" i="40" s="1"/>
  <c r="AH485" i="39"/>
  <c r="H629" i="40" s="1"/>
  <c r="I629" i="40" s="1"/>
  <c r="AH236" i="39"/>
  <c r="H305" i="40" s="1"/>
  <c r="I305" i="40" s="1"/>
  <c r="AJ276" i="39"/>
  <c r="J349" i="40" s="1"/>
  <c r="K349" i="40" s="1"/>
  <c r="AJ432" i="39"/>
  <c r="AJ187" i="39"/>
  <c r="AJ287" i="39"/>
  <c r="J360" i="40" s="1"/>
  <c r="K360" i="40" s="1"/>
  <c r="AH484" i="39"/>
  <c r="AJ96" i="39"/>
  <c r="J141" i="40" s="1"/>
  <c r="AJ105" i="39"/>
  <c r="AJ193" i="39"/>
  <c r="AH14" i="39"/>
  <c r="H33" i="40" s="1"/>
  <c r="I33" i="40" s="1"/>
  <c r="AH71" i="39"/>
  <c r="AJ369" i="39"/>
  <c r="J446" i="40" s="1"/>
  <c r="AJ291" i="39"/>
  <c r="J364" i="40" s="1"/>
  <c r="AJ305" i="39"/>
  <c r="AJ184" i="39"/>
  <c r="J239" i="40" s="1"/>
  <c r="AJ106" i="39"/>
  <c r="AH205" i="39"/>
  <c r="AJ367" i="39"/>
  <c r="J444" i="40" s="1"/>
  <c r="AH21" i="39"/>
  <c r="AJ358" i="39"/>
  <c r="J435" i="40" s="1"/>
  <c r="AJ134" i="39"/>
  <c r="J179" i="40" s="1"/>
  <c r="AH254" i="39"/>
  <c r="AJ189" i="39"/>
  <c r="AH32" i="39"/>
  <c r="AH75" i="39"/>
  <c r="H94" i="40" s="1"/>
  <c r="I94" i="40" s="1"/>
  <c r="AH227" i="39"/>
  <c r="H296" i="40" s="1"/>
  <c r="I296" i="40" s="1"/>
  <c r="AJ136" i="39"/>
  <c r="J181" i="40" s="1"/>
  <c r="L181" i="40" s="1"/>
  <c r="AJ333" i="39"/>
  <c r="J410" i="40" s="1"/>
  <c r="L410" i="40" s="1"/>
  <c r="AH70" i="39"/>
  <c r="AJ127" i="39"/>
  <c r="AJ420" i="39"/>
  <c r="J502" i="40" s="1"/>
  <c r="M502" i="40" s="1"/>
  <c r="AH220" i="39"/>
  <c r="AJ292" i="39"/>
  <c r="AJ419" i="39"/>
  <c r="AJ466" i="39"/>
  <c r="AJ455" i="39"/>
  <c r="J570" i="40" s="1"/>
  <c r="M570" i="40" s="1"/>
  <c r="AJ293" i="39"/>
  <c r="J366" i="40" s="1"/>
  <c r="AH234" i="39"/>
  <c r="H303" i="40" s="1"/>
  <c r="I303" i="40" s="1"/>
  <c r="AJ310" i="39"/>
  <c r="AH223" i="39"/>
  <c r="H292" i="40" s="1"/>
  <c r="I292" i="40" s="1"/>
  <c r="AH480" i="39"/>
  <c r="H624" i="40" s="1"/>
  <c r="AJ436" i="39"/>
  <c r="J551" i="40" s="1"/>
  <c r="M551" i="40" s="1"/>
  <c r="AJ124" i="39"/>
  <c r="AH44" i="39"/>
  <c r="AH16" i="39"/>
  <c r="H35" i="40" s="1"/>
  <c r="I35" i="40" s="1"/>
  <c r="AJ145" i="39"/>
  <c r="AH246" i="39"/>
  <c r="AJ288" i="39"/>
  <c r="J361" i="40" s="1"/>
  <c r="L361" i="40" s="1"/>
  <c r="AJ337" i="39"/>
  <c r="J414" i="40" s="1"/>
  <c r="K414" i="40" s="1"/>
  <c r="AJ120" i="39"/>
  <c r="J165" i="40" s="1"/>
  <c r="AJ180" i="39"/>
  <c r="J235" i="40" s="1"/>
  <c r="M235" i="40" s="1"/>
  <c r="AH80" i="39"/>
  <c r="AJ417" i="39"/>
  <c r="J499" i="40" s="1"/>
  <c r="AJ355" i="39"/>
  <c r="J432" i="40" s="1"/>
  <c r="AH483" i="39"/>
  <c r="AJ376" i="39"/>
  <c r="AJ171" i="39"/>
  <c r="J224" i="40" s="1"/>
  <c r="K224" i="40" s="1"/>
  <c r="J176" i="40"/>
  <c r="L176" i="40" s="1"/>
  <c r="AJ298" i="39"/>
  <c r="J371" i="40" s="1"/>
  <c r="M371" i="40" s="1"/>
  <c r="AJ459" i="39"/>
  <c r="AJ393" i="39"/>
  <c r="J475" i="40" s="1"/>
  <c r="K475" i="40" s="1"/>
  <c r="AH35" i="39"/>
  <c r="AJ137" i="39"/>
  <c r="J182" i="40" s="1"/>
  <c r="AJ111" i="39"/>
  <c r="J156" i="40" s="1"/>
  <c r="M156" i="40" s="1"/>
  <c r="AH64" i="39"/>
  <c r="H83" i="40" s="1"/>
  <c r="I83" i="40" s="1"/>
  <c r="AJ118" i="39"/>
  <c r="J163" i="40" s="1"/>
  <c r="L163" i="40" s="1"/>
  <c r="AJ346" i="39"/>
  <c r="J423" i="40" s="1"/>
  <c r="AJ411" i="39"/>
  <c r="J493" i="40" s="1"/>
  <c r="AJ344" i="39"/>
  <c r="J421" i="40" s="1"/>
  <c r="L421" i="40" s="1"/>
  <c r="AJ410" i="39"/>
  <c r="AJ451" i="39"/>
  <c r="J566" i="40" s="1"/>
  <c r="K566" i="40" s="1"/>
  <c r="AJ377" i="39"/>
  <c r="J459" i="40" s="1"/>
  <c r="AH55" i="39"/>
  <c r="H74" i="40" s="1"/>
  <c r="I74" i="40" s="1"/>
  <c r="AJ177" i="39"/>
  <c r="J232" i="40" s="1"/>
  <c r="AJ182" i="39"/>
  <c r="AJ443" i="39"/>
  <c r="J558" i="40" s="1"/>
  <c r="K558" i="40" s="1"/>
  <c r="AH74" i="39"/>
  <c r="H93" i="40" s="1"/>
  <c r="I93" i="40" s="1"/>
  <c r="J416" i="40"/>
  <c r="AJ113" i="39"/>
  <c r="J158" i="40" s="1"/>
  <c r="M158" i="40" s="1"/>
  <c r="AJ396" i="39"/>
  <c r="J478" i="40" s="1"/>
  <c r="M478" i="40" s="1"/>
  <c r="AJ313" i="39"/>
  <c r="J386" i="40" s="1"/>
  <c r="AJ115" i="39"/>
  <c r="J160" i="40" s="1"/>
  <c r="K160" i="40" s="1"/>
  <c r="AH78" i="39"/>
  <c r="AJ281" i="39"/>
  <c r="J354" i="40" s="1"/>
  <c r="K354" i="40" s="1"/>
  <c r="AJ277" i="39"/>
  <c r="J350" i="40" s="1"/>
  <c r="K350" i="40" s="1"/>
  <c r="AJ103" i="39"/>
  <c r="J148" i="40" s="1"/>
  <c r="K148" i="40" s="1"/>
  <c r="AJ391" i="39"/>
  <c r="J473" i="40" s="1"/>
  <c r="L473" i="40" s="1"/>
  <c r="AH81" i="39"/>
  <c r="H100" i="40" s="1"/>
  <c r="I100" i="40" s="1"/>
  <c r="AH40" i="39"/>
  <c r="H59" i="40" s="1"/>
  <c r="I59" i="40" s="1"/>
  <c r="AH51" i="39"/>
  <c r="AJ303" i="39"/>
  <c r="J376" i="40" s="1"/>
  <c r="AJ327" i="39"/>
  <c r="J404" i="40" s="1"/>
  <c r="AJ362" i="39"/>
  <c r="J439" i="40" s="1"/>
  <c r="AJ440" i="39"/>
  <c r="J555" i="40" s="1"/>
  <c r="K555" i="40" s="1"/>
  <c r="AJ446" i="39"/>
  <c r="AJ366" i="39"/>
  <c r="J443" i="40" s="1"/>
  <c r="AJ295" i="39"/>
  <c r="AJ334" i="39"/>
  <c r="J411" i="40" s="1"/>
  <c r="M411" i="40" s="1"/>
  <c r="AJ133" i="39"/>
  <c r="J178" i="40" s="1"/>
  <c r="AJ172" i="39"/>
  <c r="J225" i="40" s="1"/>
  <c r="L225" i="40" s="1"/>
  <c r="L210" i="40" s="1"/>
  <c r="AH39" i="39"/>
  <c r="H58" i="40" s="1"/>
  <c r="I58" i="40" s="1"/>
  <c r="I21" i="40" s="1"/>
  <c r="AJ328" i="39"/>
  <c r="J405" i="40" s="1"/>
  <c r="AJ353" i="39"/>
  <c r="J430" i="40" s="1"/>
  <c r="M430" i="40" s="1"/>
  <c r="AJ108" i="39"/>
  <c r="J153" i="40" s="1"/>
  <c r="AH247" i="39"/>
  <c r="H316" i="40" s="1"/>
  <c r="AJ365" i="39"/>
  <c r="J442" i="40" s="1"/>
  <c r="AH50" i="39"/>
  <c r="H69" i="40" s="1"/>
  <c r="I69" i="40" s="1"/>
  <c r="AJ284" i="39"/>
  <c r="J357" i="40" s="1"/>
  <c r="K357" i="40" s="1"/>
  <c r="AH41" i="39"/>
  <c r="H60" i="40" s="1"/>
  <c r="I60" i="40" s="1"/>
  <c r="I23" i="40" s="1"/>
  <c r="AJ457" i="39"/>
  <c r="J572" i="40" s="1"/>
  <c r="K572" i="40" s="1"/>
  <c r="AJ97" i="39"/>
  <c r="J142" i="40" s="1"/>
  <c r="AJ186" i="39"/>
  <c r="AJ135" i="39"/>
  <c r="J180" i="40" s="1"/>
  <c r="M180" i="40" s="1"/>
  <c r="AJ381" i="39"/>
  <c r="J463" i="40" s="1"/>
  <c r="M463" i="40" s="1"/>
  <c r="AJ307" i="39"/>
  <c r="J380" i="40" s="1"/>
  <c r="AH79" i="39"/>
  <c r="AJ392" i="39"/>
  <c r="J474" i="40" s="1"/>
  <c r="L474" i="40" s="1"/>
  <c r="AH248" i="39"/>
  <c r="AJ435" i="39"/>
  <c r="J550" i="40" s="1"/>
  <c r="K550" i="40" s="1"/>
  <c r="AJ409" i="39"/>
  <c r="AJ348" i="39"/>
  <c r="J425" i="40" s="1"/>
  <c r="AH245" i="39"/>
  <c r="AJ306" i="39"/>
  <c r="AH26" i="39"/>
  <c r="H45" i="40" s="1"/>
  <c r="AJ331" i="39"/>
  <c r="J408" i="40" s="1"/>
  <c r="AH233" i="39"/>
  <c r="H302" i="40" s="1"/>
  <c r="I302" i="40" s="1"/>
  <c r="AH28" i="39"/>
  <c r="H47" i="40" s="1"/>
  <c r="AH30" i="39"/>
  <c r="AJ159" i="39"/>
  <c r="J212" i="40" s="1"/>
  <c r="L212" i="40" s="1"/>
  <c r="AH58" i="39"/>
  <c r="H77" i="40" s="1"/>
  <c r="I77" i="40" s="1"/>
  <c r="AJ150" i="39"/>
  <c r="AH63" i="39"/>
  <c r="H82" i="40" s="1"/>
  <c r="I82" i="40" s="1"/>
  <c r="AJ464" i="39"/>
  <c r="AJ125" i="39"/>
  <c r="AJ380" i="39"/>
  <c r="J462" i="40" s="1"/>
  <c r="K462" i="40" s="1"/>
  <c r="AJ343" i="39"/>
  <c r="J420" i="40" s="1"/>
  <c r="M420" i="40" s="1"/>
  <c r="AJ460" i="39"/>
  <c r="AJ431" i="39"/>
  <c r="AJ162" i="39"/>
  <c r="J215" i="40" s="1"/>
  <c r="M215" i="40" s="1"/>
  <c r="AJ442" i="39"/>
  <c r="J557" i="40" s="1"/>
  <c r="M557" i="40" s="1"/>
  <c r="AJ354" i="39"/>
  <c r="J431" i="40" s="1"/>
  <c r="L431" i="40" s="1"/>
  <c r="AH60" i="39"/>
  <c r="H79" i="40" s="1"/>
  <c r="I79" i="40" s="1"/>
  <c r="AJ141" i="39"/>
  <c r="AJ110" i="39"/>
  <c r="J155" i="40" s="1"/>
  <c r="AJ414" i="39"/>
  <c r="J496" i="40" s="1"/>
  <c r="AJ302" i="39"/>
  <c r="J375" i="40" s="1"/>
  <c r="AJ95" i="39"/>
  <c r="J140" i="40" s="1"/>
  <c r="AJ433" i="39"/>
  <c r="J548" i="40" s="1"/>
  <c r="AH255" i="39"/>
  <c r="AH222" i="39"/>
  <c r="AJ300" i="39"/>
  <c r="J373" i="40" s="1"/>
  <c r="M373" i="40" s="1"/>
  <c r="AH18" i="39"/>
  <c r="AJ338" i="39"/>
  <c r="J415" i="40" s="1"/>
  <c r="L415" i="40" s="1"/>
  <c r="AH210" i="39"/>
  <c r="AJ465" i="39"/>
  <c r="J580" i="40" s="1"/>
  <c r="AJ471" i="39"/>
  <c r="J586" i="40" s="1"/>
  <c r="L586" i="40" s="1"/>
  <c r="AH53" i="39"/>
  <c r="H72" i="40" s="1"/>
  <c r="I72" i="40" s="1"/>
  <c r="AH42" i="39"/>
  <c r="H61" i="40" s="1"/>
  <c r="I61" i="40" s="1"/>
  <c r="AJ395" i="39"/>
  <c r="J477" i="40" s="1"/>
  <c r="L477" i="40" s="1"/>
  <c r="AJ389" i="39"/>
  <c r="J471" i="40" s="1"/>
  <c r="M471" i="40" s="1"/>
  <c r="AJ472" i="39"/>
  <c r="J587" i="40" s="1"/>
  <c r="L587" i="40" s="1"/>
  <c r="AJ158" i="39"/>
  <c r="J211" i="40" s="1"/>
  <c r="L211" i="40" s="1"/>
  <c r="AJ397" i="39"/>
  <c r="AJ126" i="39"/>
  <c r="J171" i="40" s="1"/>
  <c r="AJ469" i="39"/>
  <c r="J584" i="40" s="1"/>
  <c r="L584" i="40" s="1"/>
  <c r="AH61" i="39"/>
  <c r="AJ139" i="39"/>
  <c r="AH238" i="39"/>
  <c r="AJ99" i="39"/>
  <c r="J144" i="40" s="1"/>
  <c r="K144" i="40" s="1"/>
  <c r="AJ387" i="39"/>
  <c r="AJ406" i="39"/>
  <c r="J488" i="40" s="1"/>
  <c r="L488" i="40" s="1"/>
  <c r="AJ439" i="39"/>
  <c r="J554" i="40" s="1"/>
  <c r="L554" i="40" s="1"/>
  <c r="AJ271" i="39"/>
  <c r="AJ359" i="39"/>
  <c r="J436" i="40" s="1"/>
  <c r="AJ430" i="39"/>
  <c r="J545" i="40" s="1"/>
  <c r="AH252" i="39"/>
  <c r="AJ109" i="39"/>
  <c r="J154" i="40" s="1"/>
  <c r="AH20" i="39"/>
  <c r="AJ294" i="39"/>
  <c r="J367" i="40" s="1"/>
  <c r="AH72" i="39"/>
  <c r="H91" i="40" s="1"/>
  <c r="I91" i="40" s="1"/>
  <c r="AJ289" i="39"/>
  <c r="J362" i="40" s="1"/>
  <c r="M362" i="40" s="1"/>
  <c r="AJ278" i="39"/>
  <c r="J351" i="40" s="1"/>
  <c r="L351" i="40" s="1"/>
  <c r="AJ191" i="39"/>
  <c r="AH482" i="39"/>
  <c r="AJ398" i="39"/>
  <c r="J480" i="40" s="1"/>
  <c r="AH243" i="39"/>
  <c r="H312" i="40" s="1"/>
  <c r="I312" i="40" s="1"/>
  <c r="AH241" i="39"/>
  <c r="H310" i="40" s="1"/>
  <c r="I310" i="40" s="1"/>
  <c r="AJ317" i="39"/>
  <c r="J390" i="40" s="1"/>
  <c r="M390" i="40" s="1"/>
  <c r="AH231" i="39"/>
  <c r="H300" i="40" s="1"/>
  <c r="I300" i="40" s="1"/>
  <c r="AJ456" i="39"/>
  <c r="J571" i="40" s="1"/>
  <c r="AH258" i="39"/>
  <c r="AJ379" i="39"/>
  <c r="AJ122" i="39"/>
  <c r="AJ169" i="39"/>
  <c r="J222" i="40" s="1"/>
  <c r="M222" i="40" s="1"/>
  <c r="AH68" i="39"/>
  <c r="H87" i="40" s="1"/>
  <c r="I87" i="40" s="1"/>
  <c r="AH17" i="39"/>
  <c r="AJ429" i="39"/>
  <c r="AJ170" i="39"/>
  <c r="J223" i="40" s="1"/>
  <c r="K223" i="40" s="1"/>
  <c r="K208" i="40" s="1"/>
  <c r="AJ168" i="39"/>
  <c r="J221" i="40" s="1"/>
  <c r="K221" i="40" s="1"/>
  <c r="K206" i="40" s="1"/>
  <c r="AH479" i="39"/>
  <c r="H623" i="40" s="1"/>
  <c r="I623" i="40" s="1"/>
  <c r="AJ314" i="39"/>
  <c r="AJ315" i="39"/>
  <c r="J388" i="40" s="1"/>
  <c r="AH235" i="39"/>
  <c r="H304" i="40" s="1"/>
  <c r="I304" i="40" s="1"/>
  <c r="AJ444" i="39"/>
  <c r="J559" i="40" s="1"/>
  <c r="L559" i="40" s="1"/>
  <c r="AH206" i="39"/>
  <c r="J28" i="26"/>
  <c r="R5" i="39" s="1"/>
  <c r="H274" i="40"/>
  <c r="I274" i="40" s="1"/>
  <c r="J242" i="40"/>
  <c r="J438" i="40"/>
  <c r="J377" i="40"/>
  <c r="J245" i="40"/>
  <c r="H313" i="40"/>
  <c r="I313" i="40" s="1"/>
  <c r="J562" i="40"/>
  <c r="H281" i="40"/>
  <c r="I281" i="40" s="1"/>
  <c r="J564" i="40"/>
  <c r="E30" i="26"/>
  <c r="H30" i="26"/>
  <c r="E29" i="26"/>
  <c r="H29" i="26"/>
  <c r="J583" i="40"/>
  <c r="J434" i="40"/>
  <c r="H325" i="40"/>
  <c r="I325" i="40" s="1"/>
  <c r="G432" i="48" l="1"/>
  <c r="K423" i="48"/>
  <c r="O563" i="48"/>
  <c r="P563" i="48" s="1"/>
  <c r="G431" i="48"/>
  <c r="K422" i="48"/>
  <c r="N572" i="48"/>
  <c r="L572" i="48"/>
  <c r="M572" i="48" s="1"/>
  <c r="N550" i="48"/>
  <c r="O550" i="48" s="1"/>
  <c r="P550" i="48" s="1"/>
  <c r="L550" i="48"/>
  <c r="M550" i="48" s="1"/>
  <c r="L291" i="48"/>
  <c r="M291" i="48" s="1"/>
  <c r="N291" i="48"/>
  <c r="O291" i="48" s="1"/>
  <c r="P291" i="48" s="1"/>
  <c r="K581" i="48"/>
  <c r="G590" i="48"/>
  <c r="K568" i="48"/>
  <c r="G577" i="48"/>
  <c r="G309" i="48"/>
  <c r="K300" i="48"/>
  <c r="L567" i="48"/>
  <c r="M567" i="48" s="1"/>
  <c r="N567" i="48"/>
  <c r="L559" i="48"/>
  <c r="M559" i="48" s="1"/>
  <c r="N559" i="48"/>
  <c r="O559" i="48" s="1"/>
  <c r="P559" i="48" s="1"/>
  <c r="O546" i="48"/>
  <c r="P546" i="48" s="1"/>
  <c r="G585" i="48"/>
  <c r="K576" i="48"/>
  <c r="L292" i="48"/>
  <c r="M292" i="48" s="1"/>
  <c r="N292" i="48"/>
  <c r="L293" i="48"/>
  <c r="M293" i="48" s="1"/>
  <c r="N293" i="48"/>
  <c r="O293" i="48" s="1"/>
  <c r="P293" i="48" s="1"/>
  <c r="G310" i="48"/>
  <c r="K301" i="48"/>
  <c r="G311" i="48"/>
  <c r="K302" i="48"/>
  <c r="O284" i="48"/>
  <c r="P284" i="48" s="1"/>
  <c r="L415" i="48"/>
  <c r="M415" i="48" s="1"/>
  <c r="N415" i="48"/>
  <c r="O415" i="48" s="1"/>
  <c r="P415" i="48" s="1"/>
  <c r="G433" i="48"/>
  <c r="K424" i="48"/>
  <c r="N556" i="48"/>
  <c r="O556" i="48" s="1"/>
  <c r="P556" i="48" s="1"/>
  <c r="L556" i="48"/>
  <c r="M556" i="48" s="1"/>
  <c r="G582" i="48"/>
  <c r="K573" i="48"/>
  <c r="N551" i="48"/>
  <c r="O551" i="48" s="1"/>
  <c r="P551" i="48" s="1"/>
  <c r="L551" i="48"/>
  <c r="M551" i="48" s="1"/>
  <c r="K565" i="48"/>
  <c r="G574" i="48"/>
  <c r="L564" i="48"/>
  <c r="M564" i="48" s="1"/>
  <c r="N564" i="48"/>
  <c r="L560" i="48"/>
  <c r="M560" i="48" s="1"/>
  <c r="N560" i="48"/>
  <c r="O560" i="48" s="1"/>
  <c r="P560" i="48" s="1"/>
  <c r="N547" i="48"/>
  <c r="L547" i="48"/>
  <c r="M547" i="48" s="1"/>
  <c r="L414" i="48"/>
  <c r="M414" i="48" s="1"/>
  <c r="N414" i="48"/>
  <c r="O414" i="48" s="1"/>
  <c r="P414" i="48" s="1"/>
  <c r="K569" i="48"/>
  <c r="G578" i="48"/>
  <c r="L413" i="48"/>
  <c r="M413" i="48" s="1"/>
  <c r="N413" i="48"/>
  <c r="O413" i="48" s="1"/>
  <c r="P413" i="48" s="1"/>
  <c r="H462" i="48"/>
  <c r="H463" i="48"/>
  <c r="H464" i="48"/>
  <c r="H96" i="40"/>
  <c r="H273" i="40"/>
  <c r="K135" i="40"/>
  <c r="K137" i="40"/>
  <c r="F119" i="17"/>
  <c r="M133" i="40"/>
  <c r="I29" i="40"/>
  <c r="I25" i="40"/>
  <c r="I27" i="40"/>
  <c r="J497" i="40"/>
  <c r="K497" i="40" s="1"/>
  <c r="J192" i="40"/>
  <c r="M192" i="40" s="1"/>
  <c r="H295" i="40"/>
  <c r="I295" i="40" s="1"/>
  <c r="H64" i="40"/>
  <c r="I64" i="40" s="1"/>
  <c r="J588" i="40"/>
  <c r="M588" i="40" s="1"/>
  <c r="H280" i="40"/>
  <c r="I280" i="40" s="1"/>
  <c r="J151" i="40"/>
  <c r="M151" i="40" s="1"/>
  <c r="M115" i="40" s="1"/>
  <c r="H38" i="40"/>
  <c r="I38" i="40" s="1"/>
  <c r="H84" i="40"/>
  <c r="I84" i="40" s="1"/>
  <c r="F95" i="17"/>
  <c r="F102" i="17" s="1"/>
  <c r="F140" i="17"/>
  <c r="F113" i="17" s="1"/>
  <c r="F127" i="17" s="1"/>
  <c r="J237" i="40"/>
  <c r="L237" i="40" s="1"/>
  <c r="H51" i="40"/>
  <c r="I51" i="40" s="1"/>
  <c r="J579" i="40"/>
  <c r="M579" i="40" s="1"/>
  <c r="F94" i="17"/>
  <c r="F101" i="17" s="1"/>
  <c r="F139" i="17"/>
  <c r="F112" i="17" s="1"/>
  <c r="F126" i="17" s="1"/>
  <c r="H306" i="40"/>
  <c r="I306" i="40" s="1"/>
  <c r="H88" i="40"/>
  <c r="I88" i="40" s="1"/>
  <c r="J345" i="40"/>
  <c r="L345" i="40" s="1"/>
  <c r="H99" i="40"/>
  <c r="J424" i="40"/>
  <c r="M424" i="40" s="1"/>
  <c r="I30" i="26"/>
  <c r="G716" i="17"/>
  <c r="G725" i="17" s="1"/>
  <c r="G648" i="17"/>
  <c r="I614" i="17"/>
  <c r="G604" i="17"/>
  <c r="I564" i="17"/>
  <c r="H487" i="17"/>
  <c r="H347" i="17"/>
  <c r="H336" i="17"/>
  <c r="J328" i="17"/>
  <c r="I324" i="40"/>
  <c r="I311" i="40"/>
  <c r="I99" i="40"/>
  <c r="K162" i="40"/>
  <c r="H314" i="40"/>
  <c r="I314" i="40" s="1"/>
  <c r="F96" i="17"/>
  <c r="F103" i="17" s="1"/>
  <c r="F43" i="17"/>
  <c r="F42" i="17"/>
  <c r="F41" i="17"/>
  <c r="K157" i="40"/>
  <c r="K127" i="40" s="1"/>
  <c r="M370" i="40"/>
  <c r="K217" i="40"/>
  <c r="M146" i="40"/>
  <c r="M409" i="40"/>
  <c r="M159" i="40"/>
  <c r="M129" i="40" s="1"/>
  <c r="L374" i="40"/>
  <c r="K551" i="40"/>
  <c r="M560" i="40"/>
  <c r="M348" i="40"/>
  <c r="M549" i="40"/>
  <c r="L159" i="40"/>
  <c r="L129" i="40" s="1"/>
  <c r="L135" i="40" s="1"/>
  <c r="L418" i="40"/>
  <c r="M214" i="40"/>
  <c r="M217" i="40"/>
  <c r="L214" i="40"/>
  <c r="K418" i="40"/>
  <c r="L216" i="40"/>
  <c r="K409" i="40"/>
  <c r="M349" i="40"/>
  <c r="K146" i="40"/>
  <c r="L370" i="40"/>
  <c r="M220" i="40"/>
  <c r="L236" i="40"/>
  <c r="K236" i="40"/>
  <c r="L558" i="40"/>
  <c r="L503" i="40"/>
  <c r="L348" i="40"/>
  <c r="M360" i="40"/>
  <c r="K374" i="40"/>
  <c r="K503" i="40"/>
  <c r="K464" i="40"/>
  <c r="L144" i="40"/>
  <c r="K412" i="40"/>
  <c r="L464" i="40"/>
  <c r="M144" i="40"/>
  <c r="K156" i="40"/>
  <c r="L156" i="40"/>
  <c r="K410" i="40"/>
  <c r="L360" i="40"/>
  <c r="K470" i="40"/>
  <c r="K149" i="40"/>
  <c r="L149" i="40"/>
  <c r="L193" i="40"/>
  <c r="K143" i="40"/>
  <c r="J170" i="40"/>
  <c r="L170" i="40" s="1"/>
  <c r="H89" i="40"/>
  <c r="I89" i="40" s="1"/>
  <c r="M351" i="40"/>
  <c r="M558" i="40"/>
  <c r="L570" i="40"/>
  <c r="M566" i="40"/>
  <c r="K570" i="40"/>
  <c r="H90" i="40"/>
  <c r="I90" i="40" s="1"/>
  <c r="L566" i="40"/>
  <c r="M361" i="40"/>
  <c r="K361" i="40"/>
  <c r="J574" i="40"/>
  <c r="K574" i="40" s="1"/>
  <c r="L364" i="40"/>
  <c r="M364" i="40"/>
  <c r="K145" i="40"/>
  <c r="J500" i="40"/>
  <c r="L500" i="40" s="1"/>
  <c r="J378" i="40"/>
  <c r="M378" i="40" s="1"/>
  <c r="M145" i="40"/>
  <c r="H54" i="40"/>
  <c r="I54" i="40" s="1"/>
  <c r="H279" i="40"/>
  <c r="I279" i="40" s="1"/>
  <c r="J384" i="40"/>
  <c r="L384" i="40" s="1"/>
  <c r="M470" i="40"/>
  <c r="L412" i="40"/>
  <c r="L349" i="40"/>
  <c r="H97" i="40"/>
  <c r="I97" i="40" s="1"/>
  <c r="L560" i="40"/>
  <c r="L551" i="40"/>
  <c r="H628" i="40"/>
  <c r="I628" i="40" s="1"/>
  <c r="L362" i="40"/>
  <c r="M143" i="40"/>
  <c r="H327" i="40"/>
  <c r="I327" i="40" s="1"/>
  <c r="J491" i="40"/>
  <c r="L491" i="40" s="1"/>
  <c r="H39" i="40"/>
  <c r="I39" i="40" s="1"/>
  <c r="J461" i="40"/>
  <c r="L461" i="40" s="1"/>
  <c r="H32" i="40"/>
  <c r="I32" i="40" s="1"/>
  <c r="J581" i="40"/>
  <c r="K581" i="40" s="1"/>
  <c r="J152" i="40"/>
  <c r="K152" i="40" s="1"/>
  <c r="H49" i="40"/>
  <c r="I49" i="40" s="1"/>
  <c r="H276" i="40"/>
  <c r="I276" i="40" s="1"/>
  <c r="J492" i="40"/>
  <c r="L492" i="40" s="1"/>
  <c r="H315" i="40"/>
  <c r="J244" i="40"/>
  <c r="K244" i="40" s="1"/>
  <c r="H98" i="40"/>
  <c r="I98" i="40" s="1"/>
  <c r="K373" i="40"/>
  <c r="L161" i="40"/>
  <c r="L131" i="40" s="1"/>
  <c r="L137" i="40" s="1"/>
  <c r="M161" i="40"/>
  <c r="M131" i="40" s="1"/>
  <c r="M162" i="40"/>
  <c r="K390" i="40"/>
  <c r="M569" i="40"/>
  <c r="K215" i="40"/>
  <c r="K213" i="40"/>
  <c r="M226" i="40"/>
  <c r="M476" i="40"/>
  <c r="K363" i="40"/>
  <c r="M213" i="40"/>
  <c r="M160" i="40"/>
  <c r="L160" i="40"/>
  <c r="L557" i="40"/>
  <c r="L427" i="40"/>
  <c r="M427" i="40"/>
  <c r="L218" i="40"/>
  <c r="L555" i="40"/>
  <c r="K218" i="40"/>
  <c r="M555" i="40"/>
  <c r="K557" i="40"/>
  <c r="K371" i="40"/>
  <c r="L371" i="40"/>
  <c r="L363" i="40"/>
  <c r="L390" i="40"/>
  <c r="K468" i="40"/>
  <c r="K586" i="40"/>
  <c r="L215" i="40"/>
  <c r="I47" i="40"/>
  <c r="H307" i="40"/>
  <c r="I307" i="40" s="1"/>
  <c r="L148" i="40"/>
  <c r="L411" i="40"/>
  <c r="L373" i="40"/>
  <c r="M559" i="40"/>
  <c r="K411" i="40"/>
  <c r="H275" i="40"/>
  <c r="I275" i="40" s="1"/>
  <c r="M148" i="40"/>
  <c r="M410" i="40"/>
  <c r="M586" i="40"/>
  <c r="J479" i="40"/>
  <c r="K479" i="40" s="1"/>
  <c r="M465" i="40"/>
  <c r="K559" i="40"/>
  <c r="J251" i="40"/>
  <c r="M251" i="40" s="1"/>
  <c r="L428" i="40"/>
  <c r="L569" i="40"/>
  <c r="M474" i="40"/>
  <c r="K428" i="40"/>
  <c r="L475" i="40"/>
  <c r="H53" i="40"/>
  <c r="I53" i="40" s="1"/>
  <c r="L234" i="40"/>
  <c r="L157" i="40"/>
  <c r="L127" i="40" s="1"/>
  <c r="L133" i="40" s="1"/>
  <c r="H50" i="40"/>
  <c r="I50" i="40" s="1"/>
  <c r="K465" i="40"/>
  <c r="M473" i="40"/>
  <c r="K473" i="40"/>
  <c r="K364" i="40"/>
  <c r="H70" i="40"/>
  <c r="I70" i="40" s="1"/>
  <c r="H37" i="40"/>
  <c r="I37" i="40" s="1"/>
  <c r="L485" i="40"/>
  <c r="K485" i="40"/>
  <c r="L414" i="40"/>
  <c r="L354" i="40"/>
  <c r="H321" i="40"/>
  <c r="J167" i="40"/>
  <c r="L167" i="40" s="1"/>
  <c r="M414" i="40"/>
  <c r="M354" i="40"/>
  <c r="M212" i="40"/>
  <c r="M554" i="40"/>
  <c r="J252" i="40"/>
  <c r="L252" i="40" s="1"/>
  <c r="J575" i="40"/>
  <c r="K575" i="40" s="1"/>
  <c r="H324" i="40"/>
  <c r="M224" i="40"/>
  <c r="K362" i="40"/>
  <c r="L185" i="40"/>
  <c r="H289" i="40"/>
  <c r="I289" i="40" s="1"/>
  <c r="L357" i="40"/>
  <c r="M431" i="40"/>
  <c r="K584" i="40"/>
  <c r="K222" i="40"/>
  <c r="L220" i="40"/>
  <c r="K185" i="40"/>
  <c r="J544" i="40"/>
  <c r="M219" i="40"/>
  <c r="H288" i="40"/>
  <c r="I288" i="40" s="1"/>
  <c r="L221" i="40"/>
  <c r="L206" i="40" s="1"/>
  <c r="J365" i="40"/>
  <c r="K365" i="40" s="1"/>
  <c r="M572" i="40"/>
  <c r="J379" i="40"/>
  <c r="K379" i="40" s="1"/>
  <c r="K420" i="40"/>
  <c r="H626" i="40"/>
  <c r="I626" i="40" s="1"/>
  <c r="M221" i="40"/>
  <c r="M206" i="40" s="1"/>
  <c r="K549" i="40"/>
  <c r="J565" i="40"/>
  <c r="K565" i="40" s="1"/>
  <c r="J150" i="40"/>
  <c r="M150" i="40" s="1"/>
  <c r="K175" i="40"/>
  <c r="K472" i="40"/>
  <c r="L180" i="40"/>
  <c r="L478" i="40"/>
  <c r="J183" i="40"/>
  <c r="K183" i="40" s="1"/>
  <c r="M233" i="40"/>
  <c r="J383" i="40"/>
  <c r="L383" i="40" s="1"/>
  <c r="K478" i="40"/>
  <c r="J169" i="40"/>
  <c r="K169" i="40" s="1"/>
  <c r="K180" i="40"/>
  <c r="K212" i="40"/>
  <c r="K587" i="40"/>
  <c r="L222" i="40"/>
  <c r="M350" i="40"/>
  <c r="M475" i="40"/>
  <c r="J445" i="40"/>
  <c r="M587" i="40"/>
  <c r="L224" i="40"/>
  <c r="K415" i="40"/>
  <c r="J561" i="40"/>
  <c r="L561" i="40" s="1"/>
  <c r="M234" i="40"/>
  <c r="M415" i="40"/>
  <c r="J469" i="40"/>
  <c r="M469" i="40" s="1"/>
  <c r="J344" i="40"/>
  <c r="M344" i="40" s="1"/>
  <c r="J172" i="40"/>
  <c r="M172" i="40" s="1"/>
  <c r="L233" i="40"/>
  <c r="J368" i="40"/>
  <c r="K368" i="40" s="1"/>
  <c r="H277" i="40"/>
  <c r="I277" i="40" s="1"/>
  <c r="K474" i="40"/>
  <c r="M584" i="40"/>
  <c r="L572" i="40"/>
  <c r="K431" i="40"/>
  <c r="J483" i="40"/>
  <c r="L483" i="40" s="1"/>
  <c r="K351" i="40"/>
  <c r="J387" i="40"/>
  <c r="L387" i="40" s="1"/>
  <c r="J382" i="40"/>
  <c r="M382" i="40" s="1"/>
  <c r="L227" i="40"/>
  <c r="J248" i="40"/>
  <c r="M248" i="40" s="1"/>
  <c r="M550" i="40"/>
  <c r="J184" i="40"/>
  <c r="K184" i="40" s="1"/>
  <c r="J501" i="40"/>
  <c r="K501" i="40" s="1"/>
  <c r="M357" i="40"/>
  <c r="L550" i="40"/>
  <c r="K554" i="40"/>
  <c r="L219" i="40"/>
  <c r="K226" i="40"/>
  <c r="K476" i="40"/>
  <c r="K227" i="40"/>
  <c r="J186" i="40"/>
  <c r="L186" i="40" s="1"/>
  <c r="L462" i="40"/>
  <c r="J573" i="40"/>
  <c r="M573" i="40" s="1"/>
  <c r="K181" i="40"/>
  <c r="J458" i="40"/>
  <c r="K458" i="40" s="1"/>
  <c r="H318" i="40"/>
  <c r="L468" i="40"/>
  <c r="M181" i="40"/>
  <c r="L430" i="40"/>
  <c r="L420" i="40"/>
  <c r="K176" i="40"/>
  <c r="K358" i="40"/>
  <c r="L567" i="40"/>
  <c r="M472" i="40"/>
  <c r="J495" i="40"/>
  <c r="L495" i="40" s="1"/>
  <c r="H63" i="40"/>
  <c r="L158" i="40"/>
  <c r="K235" i="40"/>
  <c r="H36" i="40"/>
  <c r="I36" i="40" s="1"/>
  <c r="M358" i="40"/>
  <c r="K567" i="40"/>
  <c r="K158" i="40"/>
  <c r="L235" i="40"/>
  <c r="J241" i="40"/>
  <c r="K241" i="40" s="1"/>
  <c r="H317" i="40"/>
  <c r="I45" i="40"/>
  <c r="J195" i="40"/>
  <c r="M195" i="40" s="1"/>
  <c r="M194" i="40" s="1"/>
  <c r="L175" i="40"/>
  <c r="K471" i="40"/>
  <c r="L471" i="40"/>
  <c r="H80" i="40"/>
  <c r="I80" i="40" s="1"/>
  <c r="L350" i="40"/>
  <c r="J547" i="40"/>
  <c r="L547" i="40" s="1"/>
  <c r="H627" i="40"/>
  <c r="K430" i="40"/>
  <c r="H291" i="40"/>
  <c r="I291" i="40" s="1"/>
  <c r="M176" i="40"/>
  <c r="K211" i="40"/>
  <c r="L463" i="40"/>
  <c r="M211" i="40"/>
  <c r="M223" i="40"/>
  <c r="M208" i="40" s="1"/>
  <c r="H299" i="40"/>
  <c r="I299" i="40" s="1"/>
  <c r="I29" i="26"/>
  <c r="J29" i="26" s="1"/>
  <c r="S5" i="39" s="1"/>
  <c r="K463" i="40"/>
  <c r="L223" i="40"/>
  <c r="L208" i="40" s="1"/>
  <c r="H52" i="40"/>
  <c r="I52" i="40" s="1"/>
  <c r="H283" i="40"/>
  <c r="I283" i="40" s="1"/>
  <c r="J546" i="40"/>
  <c r="K546" i="40" s="1"/>
  <c r="J243" i="40"/>
  <c r="K243" i="40" s="1"/>
  <c r="J489" i="40"/>
  <c r="L489" i="40" s="1"/>
  <c r="H323" i="40"/>
  <c r="I323" i="40" s="1"/>
  <c r="I321" i="40" s="1"/>
  <c r="J190" i="40"/>
  <c r="M190" i="40" s="1"/>
  <c r="K421" i="40"/>
  <c r="M552" i="40"/>
  <c r="M421" i="40"/>
  <c r="J563" i="40"/>
  <c r="L563" i="40" s="1"/>
  <c r="J250" i="40"/>
  <c r="K250" i="40" s="1"/>
  <c r="K467" i="40"/>
  <c r="L484" i="40"/>
  <c r="J433" i="40"/>
  <c r="M433" i="40" s="1"/>
  <c r="K552" i="40"/>
  <c r="L467" i="40"/>
  <c r="M484" i="40"/>
  <c r="J576" i="40"/>
  <c r="K576" i="40" s="1"/>
  <c r="K488" i="40"/>
  <c r="K353" i="40"/>
  <c r="K147" i="40"/>
  <c r="J191" i="40"/>
  <c r="K191" i="40" s="1"/>
  <c r="L502" i="40"/>
  <c r="M462" i="40"/>
  <c r="L353" i="40"/>
  <c r="M147" i="40"/>
  <c r="M477" i="40"/>
  <c r="J246" i="40"/>
  <c r="K193" i="40"/>
  <c r="L487" i="40"/>
  <c r="M225" i="40"/>
  <c r="M210" i="40" s="1"/>
  <c r="M163" i="40"/>
  <c r="K477" i="40"/>
  <c r="K487" i="40"/>
  <c r="K225" i="40"/>
  <c r="K210" i="40" s="1"/>
  <c r="K163" i="40"/>
  <c r="J30" i="26"/>
  <c r="T5" i="39" s="1"/>
  <c r="J482" i="40"/>
  <c r="M482" i="40" s="1"/>
  <c r="H308" i="40"/>
  <c r="I308" i="40" s="1"/>
  <c r="K173" i="40"/>
  <c r="H40" i="40"/>
  <c r="I40" i="40" s="1"/>
  <c r="L173" i="40"/>
  <c r="J556" i="40"/>
  <c r="K556" i="40" s="1"/>
  <c r="M488" i="40"/>
  <c r="H625" i="40"/>
  <c r="I625" i="40" s="1"/>
  <c r="K502" i="40"/>
  <c r="M165" i="40"/>
  <c r="L165" i="40"/>
  <c r="K165" i="40"/>
  <c r="K380" i="40"/>
  <c r="L380" i="40"/>
  <c r="M380" i="40"/>
  <c r="L459" i="40"/>
  <c r="K459" i="40"/>
  <c r="M459" i="40"/>
  <c r="M238" i="40"/>
  <c r="L238" i="40"/>
  <c r="K238" i="40"/>
  <c r="K385" i="40"/>
  <c r="M385" i="40"/>
  <c r="L385" i="40"/>
  <c r="K189" i="40"/>
  <c r="L189" i="40"/>
  <c r="M189" i="40"/>
  <c r="K386" i="40"/>
  <c r="M386" i="40"/>
  <c r="L386" i="40"/>
  <c r="K480" i="40"/>
  <c r="L480" i="40"/>
  <c r="M480" i="40"/>
  <c r="L388" i="40"/>
  <c r="M388" i="40"/>
  <c r="K388" i="40"/>
  <c r="L564" i="40"/>
  <c r="M564" i="40"/>
  <c r="K564" i="40"/>
  <c r="M406" i="40"/>
  <c r="K406" i="40"/>
  <c r="L406" i="40"/>
  <c r="L446" i="40"/>
  <c r="L445" i="40" s="1"/>
  <c r="M446" i="40"/>
  <c r="M445" i="40" s="1"/>
  <c r="K446" i="40"/>
  <c r="K367" i="40"/>
  <c r="L367" i="40"/>
  <c r="M367" i="40"/>
  <c r="K578" i="40"/>
  <c r="M578" i="40"/>
  <c r="L578" i="40"/>
  <c r="K545" i="40"/>
  <c r="M545" i="40"/>
  <c r="L545" i="40"/>
  <c r="L188" i="40"/>
  <c r="M188" i="40"/>
  <c r="K188" i="40"/>
  <c r="L249" i="40"/>
  <c r="M249" i="40"/>
  <c r="K249" i="40"/>
  <c r="E204" i="17"/>
  <c r="K204" i="17" s="1"/>
  <c r="L499" i="40"/>
  <c r="M499" i="40"/>
  <c r="K499" i="40"/>
  <c r="M166" i="40"/>
  <c r="K166" i="40"/>
  <c r="L166" i="40"/>
  <c r="M444" i="40"/>
  <c r="K444" i="40"/>
  <c r="L444" i="40"/>
  <c r="L177" i="40"/>
  <c r="K177" i="40"/>
  <c r="M177" i="40"/>
  <c r="K422" i="40"/>
  <c r="L422" i="40"/>
  <c r="M422" i="40"/>
  <c r="M381" i="40"/>
  <c r="L381" i="40"/>
  <c r="K381" i="40"/>
  <c r="L141" i="40"/>
  <c r="K141" i="40"/>
  <c r="M141" i="40"/>
  <c r="M490" i="40"/>
  <c r="L490" i="40"/>
  <c r="K490" i="40"/>
  <c r="L493" i="40"/>
  <c r="M493" i="40"/>
  <c r="K493" i="40"/>
  <c r="L496" i="40"/>
  <c r="K496" i="40"/>
  <c r="M496" i="40"/>
  <c r="M182" i="40"/>
  <c r="K182" i="40"/>
  <c r="L182" i="40"/>
  <c r="L481" i="40"/>
  <c r="K481" i="40"/>
  <c r="L436" i="40"/>
  <c r="M436" i="40"/>
  <c r="K436" i="40"/>
  <c r="K153" i="40"/>
  <c r="K117" i="40" s="1"/>
  <c r="L153" i="40"/>
  <c r="L117" i="40" s="1"/>
  <c r="L123" i="40" s="1"/>
  <c r="M153" i="40"/>
  <c r="M117" i="40" s="1"/>
  <c r="K142" i="40"/>
  <c r="M142" i="40"/>
  <c r="L142" i="40"/>
  <c r="K425" i="40"/>
  <c r="M425" i="40"/>
  <c r="L425" i="40"/>
  <c r="M583" i="40"/>
  <c r="K583" i="40"/>
  <c r="L583" i="40"/>
  <c r="K178" i="40"/>
  <c r="L178" i="40"/>
  <c r="M178" i="40"/>
  <c r="K439" i="40"/>
  <c r="L439" i="40"/>
  <c r="M439" i="40"/>
  <c r="M407" i="40"/>
  <c r="K407" i="40"/>
  <c r="L407" i="40"/>
  <c r="M416" i="40"/>
  <c r="K416" i="40"/>
  <c r="L416" i="40"/>
  <c r="M247" i="40"/>
  <c r="K247" i="40"/>
  <c r="L247" i="40"/>
  <c r="L432" i="40"/>
  <c r="K432" i="40"/>
  <c r="M432" i="40"/>
  <c r="L375" i="40"/>
  <c r="M375" i="40"/>
  <c r="K375" i="40"/>
  <c r="K562" i="40"/>
  <c r="L562" i="40"/>
  <c r="M562" i="40"/>
  <c r="L460" i="40"/>
  <c r="M460" i="40"/>
  <c r="K460" i="40"/>
  <c r="M245" i="40"/>
  <c r="K245" i="40"/>
  <c r="L245" i="40"/>
  <c r="L168" i="40"/>
  <c r="M168" i="40"/>
  <c r="K168" i="40"/>
  <c r="M377" i="40"/>
  <c r="K377" i="40"/>
  <c r="L377" i="40"/>
  <c r="K435" i="40"/>
  <c r="L435" i="40"/>
  <c r="M435" i="40"/>
  <c r="E196" i="17"/>
  <c r="K196" i="17" s="1"/>
  <c r="L196" i="17" s="1"/>
  <c r="M196" i="17" s="1"/>
  <c r="L408" i="40"/>
  <c r="K408" i="40"/>
  <c r="M408" i="40"/>
  <c r="M442" i="40"/>
  <c r="L442" i="40"/>
  <c r="K442" i="40"/>
  <c r="K155" i="40"/>
  <c r="K119" i="40" s="1"/>
  <c r="L155" i="40"/>
  <c r="L119" i="40" s="1"/>
  <c r="L125" i="40" s="1"/>
  <c r="M155" i="40"/>
  <c r="M119" i="40" s="1"/>
  <c r="K376" i="40"/>
  <c r="L376" i="40"/>
  <c r="M376" i="40"/>
  <c r="L423" i="40"/>
  <c r="M423" i="40"/>
  <c r="K423" i="40"/>
  <c r="M154" i="40"/>
  <c r="K154" i="40"/>
  <c r="L154" i="40"/>
  <c r="L440" i="40"/>
  <c r="M440" i="40"/>
  <c r="K440" i="40"/>
  <c r="K242" i="40"/>
  <c r="M242" i="40"/>
  <c r="L242" i="40"/>
  <c r="K239" i="40"/>
  <c r="M239" i="40"/>
  <c r="L239" i="40"/>
  <c r="K179" i="40"/>
  <c r="M179" i="40"/>
  <c r="L179" i="40"/>
  <c r="K231" i="40"/>
  <c r="M231" i="40"/>
  <c r="L231" i="40"/>
  <c r="M438" i="40"/>
  <c r="L438" i="40"/>
  <c r="K438" i="40"/>
  <c r="L577" i="40"/>
  <c r="K577" i="40"/>
  <c r="M577" i="40"/>
  <c r="L582" i="40"/>
  <c r="K582" i="40"/>
  <c r="M582" i="40"/>
  <c r="M437" i="40"/>
  <c r="L437" i="40"/>
  <c r="K437" i="40"/>
  <c r="K140" i="40"/>
  <c r="L140" i="40"/>
  <c r="M140" i="40"/>
  <c r="K405" i="40"/>
  <c r="L405" i="40"/>
  <c r="M405" i="40"/>
  <c r="L434" i="40"/>
  <c r="K434" i="40"/>
  <c r="M434" i="40"/>
  <c r="K441" i="40"/>
  <c r="L441" i="40"/>
  <c r="M441" i="40"/>
  <c r="M139" i="40"/>
  <c r="K139" i="40"/>
  <c r="L139" i="40"/>
  <c r="E198" i="17"/>
  <c r="K198" i="17" s="1"/>
  <c r="K346" i="40"/>
  <c r="M346" i="40"/>
  <c r="L346" i="40"/>
  <c r="E197" i="17"/>
  <c r="K197" i="17" s="1"/>
  <c r="K494" i="40"/>
  <c r="M494" i="40"/>
  <c r="L494" i="40"/>
  <c r="M498" i="40"/>
  <c r="L498" i="40"/>
  <c r="K498" i="40"/>
  <c r="K232" i="40"/>
  <c r="M232" i="40"/>
  <c r="L232" i="40"/>
  <c r="K366" i="40"/>
  <c r="M366" i="40"/>
  <c r="L366" i="40"/>
  <c r="K580" i="40"/>
  <c r="L580" i="40"/>
  <c r="M580" i="40"/>
  <c r="K347" i="40"/>
  <c r="L347" i="40"/>
  <c r="M347" i="40"/>
  <c r="M548" i="40"/>
  <c r="L548" i="40"/>
  <c r="K548" i="40"/>
  <c r="K171" i="40"/>
  <c r="L171" i="40"/>
  <c r="M171" i="40"/>
  <c r="M571" i="40"/>
  <c r="L571" i="40"/>
  <c r="K571" i="40"/>
  <c r="M443" i="40"/>
  <c r="K443" i="40"/>
  <c r="L443" i="40"/>
  <c r="O547" i="48" l="1"/>
  <c r="P547" i="48" s="1"/>
  <c r="N573" i="48"/>
  <c r="O573" i="48" s="1"/>
  <c r="P573" i="48" s="1"/>
  <c r="L573" i="48"/>
  <c r="M573" i="48" s="1"/>
  <c r="L302" i="48"/>
  <c r="M302" i="48" s="1"/>
  <c r="N302" i="48"/>
  <c r="O302" i="48" s="1"/>
  <c r="P302" i="48" s="1"/>
  <c r="K582" i="48"/>
  <c r="G591" i="48"/>
  <c r="G320" i="48"/>
  <c r="K311" i="48"/>
  <c r="N301" i="48"/>
  <c r="O301" i="48" s="1"/>
  <c r="P301" i="48" s="1"/>
  <c r="L301" i="48"/>
  <c r="M301" i="48" s="1"/>
  <c r="G319" i="48"/>
  <c r="K310" i="48"/>
  <c r="O567" i="48"/>
  <c r="P567" i="48" s="1"/>
  <c r="O564" i="48"/>
  <c r="P564" i="48" s="1"/>
  <c r="L424" i="48"/>
  <c r="M424" i="48" s="1"/>
  <c r="N424" i="48"/>
  <c r="O424" i="48" s="1"/>
  <c r="P424" i="48" s="1"/>
  <c r="O572" i="48"/>
  <c r="P572" i="48" s="1"/>
  <c r="K578" i="48"/>
  <c r="G587" i="48"/>
  <c r="G442" i="48"/>
  <c r="K433" i="48"/>
  <c r="O292" i="48"/>
  <c r="P292" i="48" s="1"/>
  <c r="N300" i="48"/>
  <c r="L300" i="48"/>
  <c r="M300" i="48" s="1"/>
  <c r="L422" i="48"/>
  <c r="M422" i="48" s="1"/>
  <c r="N422" i="48"/>
  <c r="O422" i="48" s="1"/>
  <c r="P422" i="48" s="1"/>
  <c r="L569" i="48"/>
  <c r="M569" i="48" s="1"/>
  <c r="N569" i="48"/>
  <c r="G583" i="48"/>
  <c r="K574" i="48"/>
  <c r="G318" i="48"/>
  <c r="K309" i="48"/>
  <c r="G440" i="48"/>
  <c r="K431" i="48"/>
  <c r="L565" i="48"/>
  <c r="M565" i="48" s="1"/>
  <c r="N565" i="48"/>
  <c r="L576" i="48"/>
  <c r="M576" i="48" s="1"/>
  <c r="N576" i="48"/>
  <c r="K577" i="48"/>
  <c r="G586" i="48"/>
  <c r="G594" i="48"/>
  <c r="K585" i="48"/>
  <c r="L568" i="48"/>
  <c r="M568" i="48" s="1"/>
  <c r="N568" i="48"/>
  <c r="K590" i="48"/>
  <c r="G599" i="48"/>
  <c r="N423" i="48"/>
  <c r="O423" i="48" s="1"/>
  <c r="P423" i="48" s="1"/>
  <c r="L423" i="48"/>
  <c r="M423" i="48" s="1"/>
  <c r="L581" i="48"/>
  <c r="M581" i="48" s="1"/>
  <c r="N581" i="48"/>
  <c r="G441" i="48"/>
  <c r="K432" i="48"/>
  <c r="H472" i="48"/>
  <c r="H471" i="48"/>
  <c r="H473" i="48"/>
  <c r="L151" i="40"/>
  <c r="L115" i="40" s="1"/>
  <c r="L121" i="40" s="1"/>
  <c r="L209" i="40"/>
  <c r="L207" i="40"/>
  <c r="M209" i="40"/>
  <c r="M207" i="40"/>
  <c r="M205" i="40"/>
  <c r="K209" i="40"/>
  <c r="K207" i="40"/>
  <c r="K205" i="40"/>
  <c r="L205" i="40"/>
  <c r="K133" i="40"/>
  <c r="F120" i="17"/>
  <c r="I272" i="40"/>
  <c r="I270" i="40"/>
  <c r="I268" i="40"/>
  <c r="I262" i="40"/>
  <c r="M121" i="40"/>
  <c r="M125" i="40"/>
  <c r="F121" i="17"/>
  <c r="M123" i="40"/>
  <c r="L497" i="40"/>
  <c r="E199" i="17"/>
  <c r="K199" i="17" s="1"/>
  <c r="L199" i="17" s="1"/>
  <c r="M199" i="17" s="1"/>
  <c r="L588" i="40"/>
  <c r="L585" i="40" s="1"/>
  <c r="M497" i="40"/>
  <c r="M137" i="40"/>
  <c r="M135" i="40"/>
  <c r="K588" i="40"/>
  <c r="K585" i="40" s="1"/>
  <c r="K424" i="40"/>
  <c r="K403" i="40" s="1"/>
  <c r="K125" i="40"/>
  <c r="K123" i="40"/>
  <c r="M237" i="40"/>
  <c r="K237" i="40"/>
  <c r="L192" i="40"/>
  <c r="K192" i="40"/>
  <c r="F44" i="17"/>
  <c r="F48" i="17"/>
  <c r="F45" i="17"/>
  <c r="F49" i="17"/>
  <c r="F46" i="17"/>
  <c r="F50" i="17"/>
  <c r="K579" i="40"/>
  <c r="L579" i="40"/>
  <c r="K151" i="40"/>
  <c r="K115" i="40" s="1"/>
  <c r="K345" i="40"/>
  <c r="M345" i="40"/>
  <c r="L424" i="40"/>
  <c r="L403" i="40" s="1"/>
  <c r="F141" i="17"/>
  <c r="F114" i="17" s="1"/>
  <c r="F128" i="17" s="1"/>
  <c r="E218" i="17"/>
  <c r="F93" i="17"/>
  <c r="F100" i="17" s="1"/>
  <c r="F107" i="17"/>
  <c r="F62" i="17" s="1"/>
  <c r="F86" i="17" s="1"/>
  <c r="F108" i="17"/>
  <c r="F63" i="17" s="1"/>
  <c r="F87" i="17" s="1"/>
  <c r="E229" i="17"/>
  <c r="K229" i="17" s="1"/>
  <c r="L204" i="17"/>
  <c r="M204" i="17" s="1"/>
  <c r="L198" i="17"/>
  <c r="M198" i="17" s="1"/>
  <c r="L197" i="17"/>
  <c r="M197" i="17" s="1"/>
  <c r="G657" i="17"/>
  <c r="I623" i="17"/>
  <c r="G613" i="17"/>
  <c r="I573" i="17"/>
  <c r="H356" i="17"/>
  <c r="H345" i="17"/>
  <c r="J337" i="17"/>
  <c r="K602" i="40"/>
  <c r="K614" i="40"/>
  <c r="K601" i="40"/>
  <c r="K613" i="40"/>
  <c r="K603" i="40"/>
  <c r="K615" i="40"/>
  <c r="K604" i="40"/>
  <c r="K616" i="40"/>
  <c r="K605" i="40"/>
  <c r="K617" i="40"/>
  <c r="K606" i="40"/>
  <c r="K618" i="40"/>
  <c r="K596" i="40"/>
  <c r="K607" i="40"/>
  <c r="K595" i="40"/>
  <c r="K608" i="40"/>
  <c r="K594" i="40"/>
  <c r="K597" i="40"/>
  <c r="K609" i="40"/>
  <c r="K598" i="40"/>
  <c r="K610" i="40"/>
  <c r="K599" i="40"/>
  <c r="K611" i="40"/>
  <c r="K600" i="40"/>
  <c r="K612" i="40"/>
  <c r="I320" i="40"/>
  <c r="I30" i="40"/>
  <c r="I273" i="40"/>
  <c r="M403" i="40"/>
  <c r="M402" i="40"/>
  <c r="I96" i="40"/>
  <c r="I95" i="40" s="1"/>
  <c r="F98" i="17"/>
  <c r="F105" i="17" s="1"/>
  <c r="F97" i="17"/>
  <c r="F104" i="17" s="1"/>
  <c r="F17" i="17"/>
  <c r="F33" i="17" s="1"/>
  <c r="F16" i="17"/>
  <c r="F32" i="17" s="1"/>
  <c r="F15" i="17"/>
  <c r="F31" i="17" s="1"/>
  <c r="L479" i="40"/>
  <c r="K524" i="40" s="1"/>
  <c r="K491" i="40"/>
  <c r="M500" i="40"/>
  <c r="K251" i="40"/>
  <c r="K384" i="40"/>
  <c r="M384" i="40"/>
  <c r="K170" i="40"/>
  <c r="F64" i="17"/>
  <c r="F88" i="17" s="1"/>
  <c r="F81" i="17"/>
  <c r="L581" i="40"/>
  <c r="F116" i="17"/>
  <c r="F123" i="17" s="1"/>
  <c r="F130" i="17"/>
  <c r="F115" i="17"/>
  <c r="F122" i="17" s="1"/>
  <c r="F129" i="17"/>
  <c r="F131" i="17"/>
  <c r="F117" i="17"/>
  <c r="F124" i="17" s="1"/>
  <c r="M170" i="40"/>
  <c r="E83" i="17" s="1"/>
  <c r="F66" i="17"/>
  <c r="F90" i="17" s="1"/>
  <c r="F83" i="17"/>
  <c r="F65" i="17"/>
  <c r="F89" i="17" s="1"/>
  <c r="F82" i="17"/>
  <c r="M581" i="40"/>
  <c r="M244" i="40"/>
  <c r="K500" i="40"/>
  <c r="M491" i="40"/>
  <c r="K492" i="40"/>
  <c r="M492" i="40"/>
  <c r="M585" i="40"/>
  <c r="L574" i="40"/>
  <c r="M574" i="40"/>
  <c r="L152" i="40"/>
  <c r="I315" i="40"/>
  <c r="M152" i="40"/>
  <c r="I318" i="40"/>
  <c r="K378" i="40"/>
  <c r="I317" i="40"/>
  <c r="L378" i="40"/>
  <c r="M379" i="40"/>
  <c r="I622" i="40"/>
  <c r="L379" i="40"/>
  <c r="K167" i="40"/>
  <c r="L244" i="40"/>
  <c r="K469" i="40"/>
  <c r="K150" i="40"/>
  <c r="M461" i="40"/>
  <c r="K461" i="40"/>
  <c r="M167" i="40"/>
  <c r="M576" i="40"/>
  <c r="I7" i="40"/>
  <c r="K489" i="40"/>
  <c r="L251" i="40"/>
  <c r="K382" i="40"/>
  <c r="K190" i="40"/>
  <c r="L382" i="40"/>
  <c r="L190" i="40"/>
  <c r="K495" i="40"/>
  <c r="M495" i="40"/>
  <c r="M169" i="40"/>
  <c r="L169" i="40"/>
  <c r="L576" i="40"/>
  <c r="M479" i="40"/>
  <c r="K186" i="40"/>
  <c r="M575" i="40"/>
  <c r="L458" i="40"/>
  <c r="K387" i="40"/>
  <c r="M458" i="40"/>
  <c r="M387" i="40"/>
  <c r="L575" i="40"/>
  <c r="L183" i="40"/>
  <c r="M546" i="40"/>
  <c r="K573" i="40"/>
  <c r="M183" i="40"/>
  <c r="L469" i="40"/>
  <c r="K195" i="40"/>
  <c r="K194" i="40" s="1"/>
  <c r="L546" i="40"/>
  <c r="L573" i="40"/>
  <c r="M365" i="40"/>
  <c r="M184" i="40"/>
  <c r="L150" i="40"/>
  <c r="L365" i="40"/>
  <c r="L184" i="40"/>
  <c r="L241" i="40"/>
  <c r="M252" i="40"/>
  <c r="E131" i="17" s="1"/>
  <c r="K383" i="40"/>
  <c r="M241" i="40"/>
  <c r="K252" i="40"/>
  <c r="M383" i="40"/>
  <c r="L195" i="40"/>
  <c r="L194" i="40" s="1"/>
  <c r="M368" i="40"/>
  <c r="L565" i="40"/>
  <c r="M565" i="40"/>
  <c r="M547" i="40"/>
  <c r="K547" i="40"/>
  <c r="M483" i="40"/>
  <c r="M489" i="40"/>
  <c r="K483" i="40"/>
  <c r="L243" i="40"/>
  <c r="M243" i="40"/>
  <c r="K344" i="40"/>
  <c r="L344" i="40"/>
  <c r="K433" i="40"/>
  <c r="M561" i="40"/>
  <c r="L601" i="40" s="1"/>
  <c r="K561" i="40"/>
  <c r="J609" i="40" s="1"/>
  <c r="L501" i="40"/>
  <c r="K482" i="40"/>
  <c r="M501" i="40"/>
  <c r="L482" i="40"/>
  <c r="I11" i="40"/>
  <c r="M246" i="40"/>
  <c r="M191" i="40"/>
  <c r="K172" i="40"/>
  <c r="L246" i="40"/>
  <c r="L191" i="40"/>
  <c r="L172" i="40"/>
  <c r="L250" i="40"/>
  <c r="I9" i="40"/>
  <c r="M186" i="40"/>
  <c r="L248" i="40"/>
  <c r="K248" i="40"/>
  <c r="K246" i="40" s="1"/>
  <c r="M250" i="40"/>
  <c r="L433" i="40"/>
  <c r="L368" i="40"/>
  <c r="K563" i="40"/>
  <c r="M563" i="40"/>
  <c r="L556" i="40"/>
  <c r="M556" i="40"/>
  <c r="AH7" i="39"/>
  <c r="K445" i="40"/>
  <c r="O576" i="48" l="1"/>
  <c r="P576" i="48" s="1"/>
  <c r="O569" i="48"/>
  <c r="P569" i="48" s="1"/>
  <c r="N578" i="48"/>
  <c r="L578" i="48"/>
  <c r="M578" i="48" s="1"/>
  <c r="N311" i="48"/>
  <c r="O311" i="48" s="1"/>
  <c r="P311" i="48" s="1"/>
  <c r="L311" i="48"/>
  <c r="M311" i="48" s="1"/>
  <c r="G329" i="48"/>
  <c r="K320" i="48"/>
  <c r="K599" i="48"/>
  <c r="G608" i="48"/>
  <c r="O565" i="48"/>
  <c r="P565" i="48" s="1"/>
  <c r="G600" i="48"/>
  <c r="K591" i="48"/>
  <c r="L590" i="48"/>
  <c r="M590" i="48" s="1"/>
  <c r="N590" i="48"/>
  <c r="N582" i="48"/>
  <c r="O582" i="48" s="1"/>
  <c r="P582" i="48" s="1"/>
  <c r="L582" i="48"/>
  <c r="M582" i="48" s="1"/>
  <c r="O568" i="48"/>
  <c r="P568" i="48" s="1"/>
  <c r="N431" i="48"/>
  <c r="O431" i="48" s="1"/>
  <c r="P431" i="48" s="1"/>
  <c r="L431" i="48"/>
  <c r="M431" i="48" s="1"/>
  <c r="O300" i="48"/>
  <c r="P300" i="48" s="1"/>
  <c r="G449" i="48"/>
  <c r="K440" i="48"/>
  <c r="L585" i="48"/>
  <c r="M585" i="48" s="1"/>
  <c r="N585" i="48"/>
  <c r="N309" i="48"/>
  <c r="O309" i="48" s="1"/>
  <c r="P309" i="48" s="1"/>
  <c r="L309" i="48"/>
  <c r="M309" i="48" s="1"/>
  <c r="N432" i="48"/>
  <c r="O432" i="48" s="1"/>
  <c r="P432" i="48" s="1"/>
  <c r="L432" i="48"/>
  <c r="M432" i="48" s="1"/>
  <c r="G603" i="48"/>
  <c r="K594" i="48"/>
  <c r="G327" i="48"/>
  <c r="K318" i="48"/>
  <c r="N433" i="48"/>
  <c r="O433" i="48" s="1"/>
  <c r="P433" i="48" s="1"/>
  <c r="L433" i="48"/>
  <c r="M433" i="48" s="1"/>
  <c r="L310" i="48"/>
  <c r="M310" i="48" s="1"/>
  <c r="N310" i="48"/>
  <c r="O310" i="48" s="1"/>
  <c r="P310" i="48" s="1"/>
  <c r="G450" i="48"/>
  <c r="K441" i="48"/>
  <c r="G595" i="48"/>
  <c r="K586" i="48"/>
  <c r="N574" i="48"/>
  <c r="O574" i="48" s="1"/>
  <c r="P574" i="48" s="1"/>
  <c r="L574" i="48"/>
  <c r="M574" i="48" s="1"/>
  <c r="G451" i="48"/>
  <c r="K442" i="48"/>
  <c r="G328" i="48"/>
  <c r="K319" i="48"/>
  <c r="O581" i="48"/>
  <c r="P581" i="48" s="1"/>
  <c r="L577" i="48"/>
  <c r="M577" i="48" s="1"/>
  <c r="N577" i="48"/>
  <c r="G592" i="48"/>
  <c r="K583" i="48"/>
  <c r="K587" i="48"/>
  <c r="G596" i="48"/>
  <c r="H480" i="48"/>
  <c r="H481" i="48"/>
  <c r="H482" i="48"/>
  <c r="E127" i="17"/>
  <c r="E126" i="17"/>
  <c r="E80" i="17"/>
  <c r="E128" i="17"/>
  <c r="E129" i="17"/>
  <c r="E130" i="17"/>
  <c r="E90" i="17"/>
  <c r="K118" i="40"/>
  <c r="L116" i="40"/>
  <c r="L126" i="40"/>
  <c r="K120" i="40"/>
  <c r="E89" i="17"/>
  <c r="K89" i="17" s="1"/>
  <c r="L114" i="40"/>
  <c r="K122" i="40"/>
  <c r="M114" i="40"/>
  <c r="L128" i="40"/>
  <c r="E82" i="17"/>
  <c r="K82" i="17" s="1"/>
  <c r="K114" i="40"/>
  <c r="M118" i="40"/>
  <c r="L118" i="40"/>
  <c r="E81" i="17"/>
  <c r="K124" i="40"/>
  <c r="M130" i="40"/>
  <c r="L130" i="40"/>
  <c r="K126" i="40"/>
  <c r="M120" i="40"/>
  <c r="L120" i="40"/>
  <c r="E85" i="17"/>
  <c r="K128" i="40"/>
  <c r="M132" i="40"/>
  <c r="L132" i="40"/>
  <c r="E86" i="17"/>
  <c r="K86" i="17" s="1"/>
  <c r="K130" i="40"/>
  <c r="M122" i="40"/>
  <c r="L122" i="40"/>
  <c r="E87" i="17"/>
  <c r="K87" i="17" s="1"/>
  <c r="K132" i="40"/>
  <c r="M134" i="40"/>
  <c r="L134" i="40"/>
  <c r="E74" i="17"/>
  <c r="K134" i="40"/>
  <c r="M124" i="40"/>
  <c r="L124" i="40"/>
  <c r="E75" i="17"/>
  <c r="K136" i="40"/>
  <c r="M136" i="40"/>
  <c r="L136" i="40"/>
  <c r="E76" i="17"/>
  <c r="K116" i="40"/>
  <c r="M126" i="40"/>
  <c r="E78" i="17"/>
  <c r="E88" i="17"/>
  <c r="M116" i="40"/>
  <c r="E79" i="17"/>
  <c r="M128" i="40"/>
  <c r="E15" i="17"/>
  <c r="K15" i="17" s="1"/>
  <c r="E16" i="17"/>
  <c r="E17" i="17"/>
  <c r="K17" i="17" s="1"/>
  <c r="E31" i="17"/>
  <c r="K31" i="17" s="1"/>
  <c r="E32" i="17"/>
  <c r="K32" i="17" s="1"/>
  <c r="N32" i="17" s="1"/>
  <c r="O32" i="17" s="1"/>
  <c r="P32" i="17" s="1"/>
  <c r="I20" i="40"/>
  <c r="I22" i="40"/>
  <c r="I18" i="40"/>
  <c r="E20" i="17"/>
  <c r="E36" i="17" s="1"/>
  <c r="I16" i="40"/>
  <c r="E19" i="17"/>
  <c r="E35" i="17" s="1"/>
  <c r="I14" i="40"/>
  <c r="E18" i="17"/>
  <c r="E34" i="17" s="1"/>
  <c r="I12" i="40"/>
  <c r="I10" i="40"/>
  <c r="I8" i="40"/>
  <c r="I6" i="40"/>
  <c r="I28" i="40"/>
  <c r="I24" i="40"/>
  <c r="I26" i="40"/>
  <c r="E33" i="17"/>
  <c r="K33" i="17" s="1"/>
  <c r="F70" i="17"/>
  <c r="F73" i="17"/>
  <c r="F71" i="17"/>
  <c r="I632" i="40"/>
  <c r="F171" i="17"/>
  <c r="F172" i="17"/>
  <c r="F173" i="17"/>
  <c r="F72" i="17"/>
  <c r="F69" i="17"/>
  <c r="K229" i="40"/>
  <c r="M230" i="40"/>
  <c r="L230" i="40"/>
  <c r="K230" i="40"/>
  <c r="E119" i="17" s="1"/>
  <c r="K119" i="17" s="1"/>
  <c r="K402" i="40"/>
  <c r="K121" i="40"/>
  <c r="E21" i="17"/>
  <c r="E23" i="17"/>
  <c r="E39" i="17"/>
  <c r="F106" i="17"/>
  <c r="F61" i="17" s="1"/>
  <c r="F85" i="17" s="1"/>
  <c r="K16" i="17"/>
  <c r="E22" i="17"/>
  <c r="E37" i="17"/>
  <c r="E38" i="17"/>
  <c r="F53" i="17"/>
  <c r="F52" i="17"/>
  <c r="F51" i="17"/>
  <c r="I15" i="40"/>
  <c r="I17" i="40"/>
  <c r="I13" i="40"/>
  <c r="L341" i="40"/>
  <c r="M341" i="40"/>
  <c r="K341" i="40"/>
  <c r="E133" i="17"/>
  <c r="E134" i="17" s="1"/>
  <c r="K134" i="17" s="1"/>
  <c r="L402" i="40"/>
  <c r="E732" i="17"/>
  <c r="E109" i="17"/>
  <c r="E505" i="17"/>
  <c r="K505" i="17" s="1"/>
  <c r="J613" i="40"/>
  <c r="E211" i="17"/>
  <c r="K211" i="17" s="1"/>
  <c r="J606" i="40"/>
  <c r="E141" i="17"/>
  <c r="K141" i="17" s="1"/>
  <c r="J617" i="40"/>
  <c r="E140" i="17"/>
  <c r="K140" i="17" s="1"/>
  <c r="J605" i="40"/>
  <c r="E139" i="17"/>
  <c r="K139" i="17" s="1"/>
  <c r="J599" i="40"/>
  <c r="J612" i="40"/>
  <c r="J595" i="40"/>
  <c r="J598" i="40"/>
  <c r="E225" i="17"/>
  <c r="K225" i="17" s="1"/>
  <c r="K128" i="17"/>
  <c r="K126" i="17"/>
  <c r="K127" i="17"/>
  <c r="N594" i="40"/>
  <c r="J618" i="40"/>
  <c r="L229" i="17"/>
  <c r="M229" i="17" s="1"/>
  <c r="G666" i="17"/>
  <c r="I632" i="17"/>
  <c r="G622" i="17"/>
  <c r="I582" i="17"/>
  <c r="H365" i="17"/>
  <c r="H354" i="17"/>
  <c r="J346" i="17"/>
  <c r="L594" i="40"/>
  <c r="L600" i="40"/>
  <c r="L599" i="40"/>
  <c r="L607" i="40"/>
  <c r="L615" i="40"/>
  <c r="L605" i="40"/>
  <c r="J597" i="40"/>
  <c r="M597" i="40" s="1"/>
  <c r="J611" i="40"/>
  <c r="L613" i="40"/>
  <c r="L604" i="40"/>
  <c r="L596" i="40"/>
  <c r="J616" i="40"/>
  <c r="J600" i="40"/>
  <c r="L598" i="40"/>
  <c r="L612" i="40"/>
  <c r="L616" i="40"/>
  <c r="L595" i="40"/>
  <c r="J604" i="40"/>
  <c r="J610" i="40"/>
  <c r="L611" i="40"/>
  <c r="L603" i="40"/>
  <c r="J601" i="40"/>
  <c r="L606" i="40"/>
  <c r="L610" i="40"/>
  <c r="L614" i="40"/>
  <c r="J615" i="40"/>
  <c r="J608" i="40"/>
  <c r="L597" i="40"/>
  <c r="O597" i="40" s="1"/>
  <c r="L609" i="40"/>
  <c r="L602" i="40"/>
  <c r="J603" i="40"/>
  <c r="J596" i="40"/>
  <c r="J602" i="40"/>
  <c r="L618" i="40"/>
  <c r="L617" i="40"/>
  <c r="L608" i="40"/>
  <c r="J607" i="40"/>
  <c r="J614" i="40"/>
  <c r="N597" i="40"/>
  <c r="L342" i="40"/>
  <c r="I316" i="40"/>
  <c r="K342" i="40"/>
  <c r="K543" i="40"/>
  <c r="M229" i="40"/>
  <c r="L456" i="40"/>
  <c r="L229" i="40"/>
  <c r="M456" i="40"/>
  <c r="K456" i="40"/>
  <c r="M342" i="40"/>
  <c r="L455" i="40"/>
  <c r="M543" i="40"/>
  <c r="K513" i="40"/>
  <c r="L543" i="40"/>
  <c r="K455" i="40"/>
  <c r="M455" i="40"/>
  <c r="N524" i="40"/>
  <c r="K527" i="40"/>
  <c r="K535" i="40"/>
  <c r="K511" i="40"/>
  <c r="K521" i="40"/>
  <c r="K538" i="40"/>
  <c r="K523" i="40"/>
  <c r="K519" i="40"/>
  <c r="K526" i="40"/>
  <c r="K533" i="40"/>
  <c r="K530" i="40"/>
  <c r="K532" i="40"/>
  <c r="K512" i="40"/>
  <c r="K525" i="40"/>
  <c r="K520" i="40"/>
  <c r="K514" i="40"/>
  <c r="N514" i="40" s="1"/>
  <c r="K522" i="40"/>
  <c r="K528" i="40"/>
  <c r="L532" i="40"/>
  <c r="L525" i="40"/>
  <c r="L518" i="40"/>
  <c r="L519" i="40"/>
  <c r="L534" i="40"/>
  <c r="L533" i="40"/>
  <c r="L511" i="40"/>
  <c r="L527" i="40"/>
  <c r="L536" i="40"/>
  <c r="L529" i="40"/>
  <c r="O529" i="40" s="1"/>
  <c r="L512" i="40"/>
  <c r="L537" i="40"/>
  <c r="L514" i="40"/>
  <c r="L538" i="40"/>
  <c r="L513" i="40"/>
  <c r="L528" i="40"/>
  <c r="L520" i="40"/>
  <c r="L535" i="40"/>
  <c r="L521" i="40"/>
  <c r="L522" i="40"/>
  <c r="L515" i="40"/>
  <c r="L531" i="40"/>
  <c r="L517" i="40"/>
  <c r="L530" i="40"/>
  <c r="L523" i="40"/>
  <c r="L516" i="40"/>
  <c r="L524" i="40"/>
  <c r="L526" i="40"/>
  <c r="N538" i="40"/>
  <c r="K518" i="40"/>
  <c r="K531" i="40"/>
  <c r="K537" i="40"/>
  <c r="N537" i="40" s="1"/>
  <c r="K529" i="40"/>
  <c r="K534" i="40"/>
  <c r="K516" i="40"/>
  <c r="K517" i="40"/>
  <c r="K536" i="40"/>
  <c r="K515" i="40"/>
  <c r="J512" i="40"/>
  <c r="J523" i="40"/>
  <c r="J535" i="40"/>
  <c r="J513" i="40"/>
  <c r="J524" i="40"/>
  <c r="J536" i="40"/>
  <c r="J525" i="40"/>
  <c r="J537" i="40"/>
  <c r="J514" i="40"/>
  <c r="J526" i="40"/>
  <c r="J538" i="40"/>
  <c r="J515" i="40"/>
  <c r="J527" i="40"/>
  <c r="J516" i="40"/>
  <c r="J528" i="40"/>
  <c r="J531" i="40"/>
  <c r="J520" i="40"/>
  <c r="J522" i="40"/>
  <c r="J534" i="40"/>
  <c r="J517" i="40"/>
  <c r="J529" i="40"/>
  <c r="J518" i="40"/>
  <c r="J530" i="40"/>
  <c r="J532" i="40"/>
  <c r="J521" i="40"/>
  <c r="J533" i="40"/>
  <c r="J519" i="40"/>
  <c r="E227" i="17"/>
  <c r="K227" i="17" s="1"/>
  <c r="E226" i="17"/>
  <c r="K226" i="17" s="1"/>
  <c r="E223" i="17"/>
  <c r="K223" i="17" s="1"/>
  <c r="E200" i="17"/>
  <c r="K200" i="17" s="1"/>
  <c r="L200" i="17" s="1"/>
  <c r="M200" i="17" s="1"/>
  <c r="E205" i="17"/>
  <c r="K205" i="17" s="1"/>
  <c r="L205" i="17" s="1"/>
  <c r="M205" i="17" s="1"/>
  <c r="F54" i="17"/>
  <c r="I634" i="40"/>
  <c r="K90" i="17"/>
  <c r="E203" i="17"/>
  <c r="K203" i="17" s="1"/>
  <c r="K131" i="17"/>
  <c r="K83" i="17"/>
  <c r="E136" i="17"/>
  <c r="K88" i="17"/>
  <c r="K81" i="17"/>
  <c r="K129" i="17"/>
  <c r="K130" i="17"/>
  <c r="F75" i="17"/>
  <c r="F79" i="17"/>
  <c r="F76" i="17"/>
  <c r="F80" i="17"/>
  <c r="F55" i="17"/>
  <c r="F10" i="17" s="1"/>
  <c r="F26" i="17" s="1"/>
  <c r="F56" i="17"/>
  <c r="F11" i="17" s="1"/>
  <c r="F27" i="17" s="1"/>
  <c r="E202" i="17"/>
  <c r="K202" i="17" s="1"/>
  <c r="I633" i="40"/>
  <c r="G459" i="48" l="1"/>
  <c r="K450" i="48"/>
  <c r="N599" i="48"/>
  <c r="L599" i="48"/>
  <c r="M599" i="48" s="1"/>
  <c r="L320" i="48"/>
  <c r="M320" i="48" s="1"/>
  <c r="N320" i="48"/>
  <c r="O320" i="48" s="1"/>
  <c r="P320" i="48" s="1"/>
  <c r="L319" i="48"/>
  <c r="M319" i="48" s="1"/>
  <c r="N319" i="48"/>
  <c r="O319" i="48" s="1"/>
  <c r="P319" i="48" s="1"/>
  <c r="G338" i="48"/>
  <c r="K329" i="48"/>
  <c r="G337" i="48"/>
  <c r="K328" i="48"/>
  <c r="O585" i="48"/>
  <c r="P585" i="48" s="1"/>
  <c r="N442" i="48"/>
  <c r="O442" i="48" s="1"/>
  <c r="P442" i="48" s="1"/>
  <c r="L442" i="48"/>
  <c r="M442" i="48" s="1"/>
  <c r="O590" i="48"/>
  <c r="P590" i="48" s="1"/>
  <c r="G605" i="48"/>
  <c r="K596" i="48"/>
  <c r="G460" i="48"/>
  <c r="K451" i="48"/>
  <c r="N318" i="48"/>
  <c r="O318" i="48" s="1"/>
  <c r="P318" i="48" s="1"/>
  <c r="L318" i="48"/>
  <c r="M318" i="48" s="1"/>
  <c r="N440" i="48"/>
  <c r="O440" i="48" s="1"/>
  <c r="P440" i="48" s="1"/>
  <c r="L440" i="48"/>
  <c r="M440" i="48" s="1"/>
  <c r="N587" i="48"/>
  <c r="O587" i="48" s="1"/>
  <c r="P587" i="48" s="1"/>
  <c r="L587" i="48"/>
  <c r="M587" i="48" s="1"/>
  <c r="G336" i="48"/>
  <c r="K327" i="48"/>
  <c r="G458" i="48"/>
  <c r="K449" i="48"/>
  <c r="N583" i="48"/>
  <c r="L583" i="48"/>
  <c r="M583" i="48" s="1"/>
  <c r="L594" i="48"/>
  <c r="M594" i="48" s="1"/>
  <c r="N594" i="48"/>
  <c r="L591" i="48"/>
  <c r="M591" i="48" s="1"/>
  <c r="N591" i="48"/>
  <c r="O578" i="48"/>
  <c r="P578" i="48" s="1"/>
  <c r="K592" i="48"/>
  <c r="G601" i="48"/>
  <c r="G612" i="48"/>
  <c r="K603" i="48"/>
  <c r="K600" i="48"/>
  <c r="G609" i="48"/>
  <c r="N586" i="48"/>
  <c r="L586" i="48"/>
  <c r="M586" i="48" s="1"/>
  <c r="O577" i="48"/>
  <c r="P577" i="48" s="1"/>
  <c r="G604" i="48"/>
  <c r="K595" i="48"/>
  <c r="L441" i="48"/>
  <c r="M441" i="48" s="1"/>
  <c r="N441" i="48"/>
  <c r="O441" i="48" s="1"/>
  <c r="P441" i="48" s="1"/>
  <c r="K608" i="48"/>
  <c r="G617" i="48"/>
  <c r="H491" i="48"/>
  <c r="H489" i="48"/>
  <c r="H490" i="48"/>
  <c r="I267" i="40"/>
  <c r="E228" i="17"/>
  <c r="E221" i="17" s="1"/>
  <c r="E123" i="17"/>
  <c r="K123" i="17" s="1"/>
  <c r="N123" i="17" s="1"/>
  <c r="O123" i="17" s="1"/>
  <c r="P123" i="17" s="1"/>
  <c r="E124" i="17"/>
  <c r="K124" i="17" s="1"/>
  <c r="L124" i="17" s="1"/>
  <c r="M124" i="17" s="1"/>
  <c r="F177" i="17"/>
  <c r="F184" i="17"/>
  <c r="F174" i="17"/>
  <c r="E68" i="17"/>
  <c r="E101" i="17"/>
  <c r="K101" i="17" s="1"/>
  <c r="L101" i="17" s="1"/>
  <c r="M101" i="17" s="1"/>
  <c r="E157" i="17"/>
  <c r="E72" i="17"/>
  <c r="K72" i="17" s="1"/>
  <c r="N72" i="17" s="1"/>
  <c r="O72" i="17" s="1"/>
  <c r="P72" i="17" s="1"/>
  <c r="E104" i="17"/>
  <c r="K104" i="17" s="1"/>
  <c r="N104" i="17" s="1"/>
  <c r="O104" i="17" s="1"/>
  <c r="P104" i="17" s="1"/>
  <c r="F178" i="17"/>
  <c r="F185" i="17"/>
  <c r="F175" i="17"/>
  <c r="E70" i="17"/>
  <c r="K70" i="17" s="1"/>
  <c r="L70" i="17" s="1"/>
  <c r="M70" i="17" s="1"/>
  <c r="E105" i="17"/>
  <c r="K105" i="17" s="1"/>
  <c r="L105" i="17" s="1"/>
  <c r="M105" i="17" s="1"/>
  <c r="E180" i="17"/>
  <c r="K180" i="17" s="1"/>
  <c r="E71" i="17"/>
  <c r="K71" i="17" s="1"/>
  <c r="L71" i="17" s="1"/>
  <c r="M71" i="17" s="1"/>
  <c r="E103" i="17"/>
  <c r="K103" i="17" s="1"/>
  <c r="N103" i="17" s="1"/>
  <c r="O103" i="17" s="1"/>
  <c r="P103" i="17" s="1"/>
  <c r="F179" i="17"/>
  <c r="F186" i="17"/>
  <c r="F176" i="17"/>
  <c r="I261" i="40"/>
  <c r="F68" i="17"/>
  <c r="K68" i="17" s="1"/>
  <c r="L68" i="17" s="1"/>
  <c r="M68" i="17" s="1"/>
  <c r="E102" i="17"/>
  <c r="K102" i="17" s="1"/>
  <c r="E181" i="17"/>
  <c r="K181" i="17" s="1"/>
  <c r="E69" i="17"/>
  <c r="K69" i="17" s="1"/>
  <c r="L69" i="17" s="1"/>
  <c r="M69" i="17" s="1"/>
  <c r="E100" i="17"/>
  <c r="K100" i="17" s="1"/>
  <c r="L100" i="17" s="1"/>
  <c r="M100" i="17" s="1"/>
  <c r="E182" i="17"/>
  <c r="K182" i="17" s="1"/>
  <c r="I269" i="40"/>
  <c r="I271" i="40"/>
  <c r="E73" i="17"/>
  <c r="K73" i="17" s="1"/>
  <c r="L73" i="17" s="1"/>
  <c r="M73" i="17" s="1"/>
  <c r="E122" i="17"/>
  <c r="K122" i="17" s="1"/>
  <c r="L122" i="17" s="1"/>
  <c r="M122" i="17" s="1"/>
  <c r="E25" i="17"/>
  <c r="E28" i="17" s="1"/>
  <c r="E49" i="17"/>
  <c r="E52" i="17" s="1"/>
  <c r="K52" i="17" s="1"/>
  <c r="N52" i="17" s="1"/>
  <c r="O52" i="17" s="1"/>
  <c r="P52" i="17" s="1"/>
  <c r="E50" i="17"/>
  <c r="E53" i="17" s="1"/>
  <c r="K53" i="17" s="1"/>
  <c r="L53" i="17" s="1"/>
  <c r="M53" i="17" s="1"/>
  <c r="E48" i="17"/>
  <c r="E51" i="17" s="1"/>
  <c r="K51" i="17" s="1"/>
  <c r="N51" i="17" s="1"/>
  <c r="O51" i="17" s="1"/>
  <c r="P51" i="17" s="1"/>
  <c r="E27" i="17"/>
  <c r="E30" i="17" s="1"/>
  <c r="E26" i="17"/>
  <c r="E29" i="17" s="1"/>
  <c r="F78" i="17"/>
  <c r="K78" i="17" s="1"/>
  <c r="F74" i="17"/>
  <c r="K74" i="17" s="1"/>
  <c r="E120" i="17"/>
  <c r="K120" i="17" s="1"/>
  <c r="L120" i="17" s="1"/>
  <c r="M120" i="17" s="1"/>
  <c r="L119" i="17"/>
  <c r="M119" i="17" s="1"/>
  <c r="N119" i="17"/>
  <c r="O119" i="17" s="1"/>
  <c r="P119" i="17" s="1"/>
  <c r="E121" i="17"/>
  <c r="K121" i="17" s="1"/>
  <c r="E222" i="17"/>
  <c r="K222" i="17" s="1"/>
  <c r="N222" i="17" s="1"/>
  <c r="K85" i="17"/>
  <c r="L85" i="17" s="1"/>
  <c r="M85" i="17" s="1"/>
  <c r="L32" i="17"/>
  <c r="M32" i="17" s="1"/>
  <c r="L31" i="17"/>
  <c r="M31" i="17" s="1"/>
  <c r="N31" i="17"/>
  <c r="O31" i="17" s="1"/>
  <c r="P31" i="17" s="1"/>
  <c r="N33" i="17"/>
  <c r="O33" i="17" s="1"/>
  <c r="P33" i="17" s="1"/>
  <c r="L33" i="17"/>
  <c r="M33" i="17" s="1"/>
  <c r="F30" i="17"/>
  <c r="F29" i="17"/>
  <c r="N517" i="40"/>
  <c r="O523" i="40"/>
  <c r="E406" i="17"/>
  <c r="E410" i="17" s="1"/>
  <c r="E93" i="17"/>
  <c r="K93" i="17" s="1"/>
  <c r="E360" i="17"/>
  <c r="E364" i="17" s="1"/>
  <c r="E490" i="17"/>
  <c r="E486" i="17" s="1"/>
  <c r="K486" i="17" s="1"/>
  <c r="L486" i="17" s="1"/>
  <c r="M486" i="17" s="1"/>
  <c r="E11" i="17"/>
  <c r="E43" i="17"/>
  <c r="K43" i="17" s="1"/>
  <c r="E41" i="17"/>
  <c r="E44" i="17" s="1"/>
  <c r="K44" i="17" s="1"/>
  <c r="E9" i="17"/>
  <c r="O518" i="40"/>
  <c r="E42" i="17"/>
  <c r="K42" i="17" s="1"/>
  <c r="O517" i="40"/>
  <c r="E97" i="17"/>
  <c r="K97" i="17" s="1"/>
  <c r="E537" i="17"/>
  <c r="E541" i="17" s="1"/>
  <c r="K541" i="17" s="1"/>
  <c r="E510" i="17"/>
  <c r="K510" i="17" s="1"/>
  <c r="E96" i="17"/>
  <c r="K96" i="17" s="1"/>
  <c r="E536" i="17"/>
  <c r="E540" i="17" s="1"/>
  <c r="K540" i="17" s="1"/>
  <c r="M594" i="40"/>
  <c r="O516" i="40"/>
  <c r="E270" i="17"/>
  <c r="E274" i="17" s="1"/>
  <c r="K274" i="17" s="1"/>
  <c r="E481" i="17"/>
  <c r="E477" i="17" s="1"/>
  <c r="K477" i="17" s="1"/>
  <c r="N477" i="17" s="1"/>
  <c r="O477" i="17" s="1"/>
  <c r="P477" i="17" s="1"/>
  <c r="E538" i="17"/>
  <c r="K538" i="17" s="1"/>
  <c r="O594" i="40"/>
  <c r="E108" i="17"/>
  <c r="K108" i="17" s="1"/>
  <c r="E10" i="17"/>
  <c r="E13" i="17" s="1"/>
  <c r="E493" i="17"/>
  <c r="K493" i="17" s="1"/>
  <c r="E106" i="17"/>
  <c r="E61" i="17" s="1"/>
  <c r="E497" i="17"/>
  <c r="E504" i="17"/>
  <c r="K504" i="17" s="1"/>
  <c r="E94" i="17"/>
  <c r="K94" i="17" s="1"/>
  <c r="E209" i="17"/>
  <c r="K209" i="17" s="1"/>
  <c r="E145" i="17"/>
  <c r="E112" i="17" s="1"/>
  <c r="K112" i="17" s="1"/>
  <c r="E217" i="17"/>
  <c r="E208" i="17" s="1"/>
  <c r="E98" i="17"/>
  <c r="K98" i="17" s="1"/>
  <c r="E107" i="17"/>
  <c r="E62" i="17" s="1"/>
  <c r="E95" i="17"/>
  <c r="K95" i="17" s="1"/>
  <c r="N518" i="40"/>
  <c r="E213" i="17"/>
  <c r="K213" i="17" s="1"/>
  <c r="N516" i="40"/>
  <c r="N16" i="17"/>
  <c r="L16" i="17"/>
  <c r="M16" i="17" s="1"/>
  <c r="N15" i="17"/>
  <c r="L15" i="17"/>
  <c r="M15" i="17" s="1"/>
  <c r="L203" i="17"/>
  <c r="M203" i="17" s="1"/>
  <c r="N223" i="17"/>
  <c r="L223" i="17"/>
  <c r="M223" i="17" s="1"/>
  <c r="L226" i="17"/>
  <c r="M226" i="17" s="1"/>
  <c r="N226" i="17"/>
  <c r="L17" i="17"/>
  <c r="M17" i="17" s="1"/>
  <c r="N17" i="17"/>
  <c r="L202" i="17"/>
  <c r="M202" i="17" s="1"/>
  <c r="F9" i="17"/>
  <c r="N227" i="17"/>
  <c r="L227" i="17"/>
  <c r="M227" i="17" s="1"/>
  <c r="N81" i="17"/>
  <c r="L81" i="17"/>
  <c r="M81" i="17" s="1"/>
  <c r="L211" i="17"/>
  <c r="M211" i="17" s="1"/>
  <c r="N211" i="17"/>
  <c r="N90" i="17"/>
  <c r="L90" i="17"/>
  <c r="M90" i="17" s="1"/>
  <c r="L505" i="17"/>
  <c r="M505" i="17" s="1"/>
  <c r="L225" i="17"/>
  <c r="M225" i="17" s="1"/>
  <c r="N225" i="17"/>
  <c r="L140" i="17"/>
  <c r="M140" i="17" s="1"/>
  <c r="N88" i="17"/>
  <c r="L88" i="17"/>
  <c r="M88" i="17" s="1"/>
  <c r="N129" i="17"/>
  <c r="L129" i="17"/>
  <c r="M129" i="17" s="1"/>
  <c r="L139" i="17"/>
  <c r="M139" i="17" s="1"/>
  <c r="L141" i="17"/>
  <c r="M141" i="17" s="1"/>
  <c r="N128" i="17"/>
  <c r="L128" i="17"/>
  <c r="M128" i="17" s="1"/>
  <c r="N83" i="17"/>
  <c r="L83" i="17"/>
  <c r="M83" i="17" s="1"/>
  <c r="L130" i="17"/>
  <c r="M130" i="17" s="1"/>
  <c r="N130" i="17"/>
  <c r="N131" i="17"/>
  <c r="L131" i="17"/>
  <c r="M131" i="17" s="1"/>
  <c r="N134" i="17"/>
  <c r="L134" i="17"/>
  <c r="M134" i="17" s="1"/>
  <c r="L89" i="17"/>
  <c r="M89" i="17" s="1"/>
  <c r="N89" i="17"/>
  <c r="L86" i="17"/>
  <c r="M86" i="17" s="1"/>
  <c r="N86" i="17"/>
  <c r="N126" i="17"/>
  <c r="L126" i="17"/>
  <c r="M126" i="17" s="1"/>
  <c r="L127" i="17"/>
  <c r="M127" i="17" s="1"/>
  <c r="N127" i="17"/>
  <c r="N82" i="17"/>
  <c r="L82" i="17"/>
  <c r="M82" i="17" s="1"/>
  <c r="N87" i="17"/>
  <c r="L87" i="17"/>
  <c r="M87" i="17" s="1"/>
  <c r="G675" i="17"/>
  <c r="I641" i="17"/>
  <c r="G631" i="17"/>
  <c r="I591" i="17"/>
  <c r="H374" i="17"/>
  <c r="H363" i="17"/>
  <c r="J355" i="17"/>
  <c r="M616" i="40"/>
  <c r="M612" i="40"/>
  <c r="M608" i="40"/>
  <c r="M604" i="40"/>
  <c r="M600" i="40"/>
  <c r="M615" i="40"/>
  <c r="M603" i="40"/>
  <c r="M611" i="40"/>
  <c r="M607" i="40"/>
  <c r="M617" i="40"/>
  <c r="M613" i="40"/>
  <c r="M609" i="40"/>
  <c r="M605" i="40"/>
  <c r="M601" i="40"/>
  <c r="M596" i="40"/>
  <c r="M618" i="40"/>
  <c r="M614" i="40"/>
  <c r="M610" i="40"/>
  <c r="M606" i="40"/>
  <c r="M602" i="40"/>
  <c r="M598" i="40"/>
  <c r="M595" i="40"/>
  <c r="M599" i="40"/>
  <c r="O616" i="40"/>
  <c r="O612" i="40"/>
  <c r="O608" i="40"/>
  <c r="O604" i="40"/>
  <c r="O600" i="40"/>
  <c r="O595" i="40"/>
  <c r="O617" i="40"/>
  <c r="O613" i="40"/>
  <c r="O609" i="40"/>
  <c r="O605" i="40"/>
  <c r="O601" i="40"/>
  <c r="O606" i="40"/>
  <c r="O602" i="40"/>
  <c r="O598" i="40"/>
  <c r="O618" i="40"/>
  <c r="O614" i="40"/>
  <c r="O610" i="40"/>
  <c r="O615" i="40"/>
  <c r="O611" i="40"/>
  <c r="O607" i="40"/>
  <c r="O603" i="40"/>
  <c r="O599" i="40"/>
  <c r="O596" i="40"/>
  <c r="N616" i="40"/>
  <c r="N612" i="40"/>
  <c r="N608" i="40"/>
  <c r="N604" i="40"/>
  <c r="N600" i="40"/>
  <c r="N614" i="40"/>
  <c r="N617" i="40"/>
  <c r="N609" i="40"/>
  <c r="N601" i="40"/>
  <c r="N610" i="40"/>
  <c r="N606" i="40"/>
  <c r="N595" i="40"/>
  <c r="N613" i="40"/>
  <c r="N605" i="40"/>
  <c r="N596" i="40"/>
  <c r="N602" i="40"/>
  <c r="N598" i="40"/>
  <c r="N615" i="40"/>
  <c r="N611" i="40"/>
  <c r="N607" i="40"/>
  <c r="N603" i="40"/>
  <c r="N599" i="40"/>
  <c r="O536" i="40"/>
  <c r="N531" i="40"/>
  <c r="O528" i="40"/>
  <c r="O525" i="40"/>
  <c r="N513" i="40"/>
  <c r="M535" i="40"/>
  <c r="N512" i="40"/>
  <c r="M528" i="40"/>
  <c r="M511" i="40"/>
  <c r="N532" i="40"/>
  <c r="O535" i="40"/>
  <c r="O520" i="40"/>
  <c r="O537" i="40"/>
  <c r="N519" i="40"/>
  <c r="O524" i="40"/>
  <c r="N530" i="40"/>
  <c r="O532" i="40"/>
  <c r="O533" i="40"/>
  <c r="N521" i="40"/>
  <c r="O511" i="40"/>
  <c r="O526" i="40"/>
  <c r="O513" i="40"/>
  <c r="M519" i="40"/>
  <c r="N534" i="40"/>
  <c r="O514" i="40"/>
  <c r="N525" i="40"/>
  <c r="O512" i="40"/>
  <c r="O530" i="40"/>
  <c r="M513" i="40"/>
  <c r="M520" i="40"/>
  <c r="O538" i="40"/>
  <c r="M522" i="40"/>
  <c r="M534" i="40"/>
  <c r="N511" i="40"/>
  <c r="O534" i="40"/>
  <c r="N520" i="40"/>
  <c r="N528" i="40"/>
  <c r="N529" i="40"/>
  <c r="O522" i="40"/>
  <c r="M533" i="40"/>
  <c r="M526" i="40"/>
  <c r="N536" i="40"/>
  <c r="O515" i="40"/>
  <c r="M517" i="40"/>
  <c r="M537" i="40"/>
  <c r="M521" i="40"/>
  <c r="O527" i="40"/>
  <c r="M529" i="40"/>
  <c r="N526" i="40"/>
  <c r="N522" i="40"/>
  <c r="M532" i="40"/>
  <c r="M523" i="40"/>
  <c r="M538" i="40"/>
  <c r="M531" i="40"/>
  <c r="M527" i="40"/>
  <c r="N527" i="40"/>
  <c r="N533" i="40"/>
  <c r="O531" i="40"/>
  <c r="N535" i="40"/>
  <c r="M516" i="40"/>
  <c r="N515" i="40"/>
  <c r="O519" i="40"/>
  <c r="M530" i="40"/>
  <c r="M515" i="40"/>
  <c r="M536" i="40"/>
  <c r="M524" i="40"/>
  <c r="M518" i="40"/>
  <c r="M512" i="40"/>
  <c r="O521" i="40"/>
  <c r="M514" i="40"/>
  <c r="N523" i="40"/>
  <c r="M525" i="40"/>
  <c r="E117" i="17"/>
  <c r="K117" i="17" s="1"/>
  <c r="E215" i="17"/>
  <c r="K215" i="17" s="1"/>
  <c r="E499" i="17"/>
  <c r="K499" i="17" s="1"/>
  <c r="E233" i="17"/>
  <c r="E234" i="17"/>
  <c r="E210" i="17"/>
  <c r="K210" i="17" s="1"/>
  <c r="E735" i="17"/>
  <c r="K735" i="17" s="1"/>
  <c r="E214" i="17"/>
  <c r="K214" i="17" s="1"/>
  <c r="E737" i="17"/>
  <c r="K737" i="17" s="1"/>
  <c r="K732" i="17"/>
  <c r="E66" i="17"/>
  <c r="E736" i="17"/>
  <c r="K736" i="17" s="1"/>
  <c r="E65" i="17"/>
  <c r="E64" i="17"/>
  <c r="E498" i="17"/>
  <c r="K498" i="17" s="1"/>
  <c r="E201" i="17"/>
  <c r="K201" i="17" s="1"/>
  <c r="L201" i="17" s="1"/>
  <c r="M201" i="17" s="1"/>
  <c r="E54" i="17"/>
  <c r="K54" i="17" s="1"/>
  <c r="E56" i="17"/>
  <c r="K56" i="17" s="1"/>
  <c r="E57" i="17"/>
  <c r="K57" i="17" s="1"/>
  <c r="E135" i="17"/>
  <c r="K135" i="17" s="1"/>
  <c r="K133" i="17"/>
  <c r="K76" i="17"/>
  <c r="E216" i="17"/>
  <c r="K216" i="17" s="1"/>
  <c r="E116" i="17"/>
  <c r="K116" i="17" s="1"/>
  <c r="K80" i="17"/>
  <c r="K75" i="17"/>
  <c r="K79" i="17"/>
  <c r="E137" i="17"/>
  <c r="K136" i="17"/>
  <c r="E115" i="17"/>
  <c r="K115" i="17" s="1"/>
  <c r="F14" i="17"/>
  <c r="F20" i="17"/>
  <c r="F36" i="17" s="1"/>
  <c r="K36" i="17" s="1"/>
  <c r="F13" i="17"/>
  <c r="F19" i="17"/>
  <c r="F35" i="17" s="1"/>
  <c r="K35" i="17" s="1"/>
  <c r="E55" i="17"/>
  <c r="K55" i="17" s="1"/>
  <c r="K109" i="17"/>
  <c r="F193" i="17"/>
  <c r="F148" i="17" s="1"/>
  <c r="F161" i="17" s="1"/>
  <c r="I264" i="40"/>
  <c r="G621" i="48" l="1"/>
  <c r="K612" i="48"/>
  <c r="O583" i="48"/>
  <c r="P583" i="48" s="1"/>
  <c r="L328" i="48"/>
  <c r="M328" i="48" s="1"/>
  <c r="N328" i="48"/>
  <c r="O328" i="48" s="1"/>
  <c r="P328" i="48" s="1"/>
  <c r="G610" i="48"/>
  <c r="K601" i="48"/>
  <c r="G346" i="48"/>
  <c r="K337" i="48"/>
  <c r="L595" i="48"/>
  <c r="M595" i="48" s="1"/>
  <c r="N595" i="48"/>
  <c r="N592" i="48"/>
  <c r="L592" i="48"/>
  <c r="M592" i="48" s="1"/>
  <c r="N449" i="48"/>
  <c r="O449" i="48" s="1"/>
  <c r="P449" i="48" s="1"/>
  <c r="L449" i="48"/>
  <c r="M449" i="48" s="1"/>
  <c r="N451" i="48"/>
  <c r="O451" i="48" s="1"/>
  <c r="P451" i="48" s="1"/>
  <c r="L451" i="48"/>
  <c r="M451" i="48" s="1"/>
  <c r="L329" i="48"/>
  <c r="M329" i="48" s="1"/>
  <c r="N329" i="48"/>
  <c r="O329" i="48" s="1"/>
  <c r="P329" i="48" s="1"/>
  <c r="G613" i="48"/>
  <c r="K604" i="48"/>
  <c r="G467" i="48"/>
  <c r="K458" i="48"/>
  <c r="G469" i="48"/>
  <c r="K460" i="48"/>
  <c r="G347" i="48"/>
  <c r="K338" i="48"/>
  <c r="N327" i="48"/>
  <c r="O327" i="48" s="1"/>
  <c r="P327" i="48" s="1"/>
  <c r="L327" i="48"/>
  <c r="M327" i="48" s="1"/>
  <c r="L596" i="48"/>
  <c r="M596" i="48" s="1"/>
  <c r="N596" i="48"/>
  <c r="G345" i="48"/>
  <c r="K336" i="48"/>
  <c r="G614" i="48"/>
  <c r="K605" i="48"/>
  <c r="O591" i="48"/>
  <c r="P591" i="48" s="1"/>
  <c r="N69" i="17"/>
  <c r="O69" i="17" s="1"/>
  <c r="P69" i="17" s="1"/>
  <c r="O586" i="48"/>
  <c r="P586" i="48" s="1"/>
  <c r="G618" i="48"/>
  <c r="K609" i="48"/>
  <c r="O594" i="48"/>
  <c r="P594" i="48" s="1"/>
  <c r="O599" i="48"/>
  <c r="P599" i="48" s="1"/>
  <c r="G626" i="48"/>
  <c r="K617" i="48"/>
  <c r="L600" i="48"/>
  <c r="M600" i="48" s="1"/>
  <c r="N600" i="48"/>
  <c r="N450" i="48"/>
  <c r="O450" i="48" s="1"/>
  <c r="P450" i="48" s="1"/>
  <c r="L450" i="48"/>
  <c r="M450" i="48" s="1"/>
  <c r="N608" i="48"/>
  <c r="L608" i="48"/>
  <c r="M608" i="48" s="1"/>
  <c r="L603" i="48"/>
  <c r="M603" i="48" s="1"/>
  <c r="N603" i="48"/>
  <c r="G468" i="48"/>
  <c r="K459" i="48"/>
  <c r="L104" i="17"/>
  <c r="M104" i="17" s="1"/>
  <c r="K228" i="17"/>
  <c r="L228" i="17" s="1"/>
  <c r="M228" i="17" s="1"/>
  <c r="L103" i="17"/>
  <c r="M103" i="17" s="1"/>
  <c r="N124" i="17"/>
  <c r="O124" i="17" s="1"/>
  <c r="P124" i="17" s="1"/>
  <c r="N122" i="17"/>
  <c r="O122" i="17" s="1"/>
  <c r="P122" i="17" s="1"/>
  <c r="L123" i="17"/>
  <c r="M123" i="17" s="1"/>
  <c r="N100" i="17"/>
  <c r="O100" i="17" s="1"/>
  <c r="P100" i="17" s="1"/>
  <c r="L72" i="17"/>
  <c r="M72" i="17" s="1"/>
  <c r="K30" i="17"/>
  <c r="N30" i="17" s="1"/>
  <c r="O30" i="17" s="1"/>
  <c r="P30" i="17" s="1"/>
  <c r="N71" i="17"/>
  <c r="O71" i="17" s="1"/>
  <c r="P71" i="17" s="1"/>
  <c r="N105" i="17"/>
  <c r="O105" i="17" s="1"/>
  <c r="P105" i="17" s="1"/>
  <c r="N73" i="17"/>
  <c r="O73" i="17" s="1"/>
  <c r="P73" i="17" s="1"/>
  <c r="K26" i="17"/>
  <c r="N26" i="17" s="1"/>
  <c r="O26" i="17" s="1"/>
  <c r="P26" i="17" s="1"/>
  <c r="N70" i="17"/>
  <c r="O70" i="17" s="1"/>
  <c r="P70" i="17" s="1"/>
  <c r="N101" i="17"/>
  <c r="O101" i="17" s="1"/>
  <c r="P101" i="17" s="1"/>
  <c r="K27" i="17"/>
  <c r="L27" i="17" s="1"/>
  <c r="M27" i="17" s="1"/>
  <c r="K49" i="17"/>
  <c r="L49" i="17" s="1"/>
  <c r="M49" i="17" s="1"/>
  <c r="K50" i="17"/>
  <c r="N50" i="17" s="1"/>
  <c r="O50" i="17" s="1"/>
  <c r="P50" i="17" s="1"/>
  <c r="L180" i="17"/>
  <c r="M180" i="17" s="1"/>
  <c r="N180" i="17"/>
  <c r="O180" i="17" s="1"/>
  <c r="P180" i="17" s="1"/>
  <c r="F191" i="17"/>
  <c r="F188" i="17"/>
  <c r="E352" i="17"/>
  <c r="E356" i="17" s="1"/>
  <c r="K356" i="17" s="1"/>
  <c r="N356" i="17" s="1"/>
  <c r="E172" i="17"/>
  <c r="N182" i="17"/>
  <c r="O182" i="17" s="1"/>
  <c r="P182" i="17" s="1"/>
  <c r="L182" i="17"/>
  <c r="M182" i="17" s="1"/>
  <c r="F189" i="17"/>
  <c r="F192" i="17"/>
  <c r="L102" i="17"/>
  <c r="M102" i="17" s="1"/>
  <c r="N102" i="17"/>
  <c r="O102" i="17" s="1"/>
  <c r="P102" i="17" s="1"/>
  <c r="E173" i="17"/>
  <c r="E297" i="17"/>
  <c r="E301" i="17" s="1"/>
  <c r="K301" i="17" s="1"/>
  <c r="N301" i="17" s="1"/>
  <c r="N120" i="17"/>
  <c r="O120" i="17" s="1"/>
  <c r="P120" i="17" s="1"/>
  <c r="E171" i="17"/>
  <c r="K29" i="17"/>
  <c r="L29" i="17" s="1"/>
  <c r="M29" i="17" s="1"/>
  <c r="F187" i="17"/>
  <c r="F190" i="17"/>
  <c r="L181" i="17"/>
  <c r="M181" i="17" s="1"/>
  <c r="N181" i="17"/>
  <c r="O181" i="17" s="1"/>
  <c r="P181" i="17" s="1"/>
  <c r="K48" i="17"/>
  <c r="L48" i="17" s="1"/>
  <c r="M48" i="17" s="1"/>
  <c r="L222" i="17"/>
  <c r="M222" i="17" s="1"/>
  <c r="N121" i="17"/>
  <c r="O121" i="17" s="1"/>
  <c r="P121" i="17" s="1"/>
  <c r="L121" i="17"/>
  <c r="M121" i="17" s="1"/>
  <c r="N85" i="17"/>
  <c r="N68" i="17"/>
  <c r="O68" i="17" s="1"/>
  <c r="P68" i="17" s="1"/>
  <c r="N53" i="17"/>
  <c r="O53" i="17" s="1"/>
  <c r="P53" i="17" s="1"/>
  <c r="L51" i="17"/>
  <c r="M51" i="17" s="1"/>
  <c r="L52" i="17"/>
  <c r="M52" i="17" s="1"/>
  <c r="N35" i="17"/>
  <c r="O35" i="17" s="1"/>
  <c r="P35" i="17" s="1"/>
  <c r="L35" i="17"/>
  <c r="M35" i="17" s="1"/>
  <c r="L36" i="17"/>
  <c r="M36" i="17" s="1"/>
  <c r="N36" i="17"/>
  <c r="O36" i="17" s="1"/>
  <c r="P36" i="17" s="1"/>
  <c r="K10" i="17"/>
  <c r="N10" i="17" s="1"/>
  <c r="K536" i="17"/>
  <c r="N536" i="17" s="1"/>
  <c r="F18" i="17"/>
  <c r="F34" i="17" s="1"/>
  <c r="K34" i="17" s="1"/>
  <c r="F25" i="17"/>
  <c r="K360" i="17"/>
  <c r="L360" i="17" s="1"/>
  <c r="M360" i="17" s="1"/>
  <c r="E542" i="17"/>
  <c r="K542" i="17" s="1"/>
  <c r="N542" i="17" s="1"/>
  <c r="K270" i="17"/>
  <c r="N270" i="17" s="1"/>
  <c r="K406" i="17"/>
  <c r="L406" i="17" s="1"/>
  <c r="M406" i="17" s="1"/>
  <c r="K537" i="17"/>
  <c r="L537" i="17" s="1"/>
  <c r="M537" i="17" s="1"/>
  <c r="L477" i="17"/>
  <c r="M477" i="17" s="1"/>
  <c r="N486" i="17"/>
  <c r="E565" i="17"/>
  <c r="K565" i="17" s="1"/>
  <c r="E367" i="17"/>
  <c r="E372" i="17" s="1"/>
  <c r="E480" i="17"/>
  <c r="E476" i="17" s="1"/>
  <c r="K476" i="17" s="1"/>
  <c r="L476" i="17" s="1"/>
  <c r="M476" i="17" s="1"/>
  <c r="E442" i="17"/>
  <c r="K442" i="17" s="1"/>
  <c r="E681" i="17"/>
  <c r="E685" i="17" s="1"/>
  <c r="E682" i="17"/>
  <c r="E686" i="17" s="1"/>
  <c r="E635" i="17"/>
  <c r="E639" i="17" s="1"/>
  <c r="K639" i="17" s="1"/>
  <c r="E269" i="17"/>
  <c r="E273" i="17" s="1"/>
  <c r="K273" i="17" s="1"/>
  <c r="E284" i="17"/>
  <c r="E280" i="17" s="1"/>
  <c r="K280" i="17" s="1"/>
  <c r="E414" i="17"/>
  <c r="E418" i="17" s="1"/>
  <c r="E618" i="17"/>
  <c r="E622" i="17" s="1"/>
  <c r="K622" i="17" s="1"/>
  <c r="N622" i="17" s="1"/>
  <c r="E520" i="17"/>
  <c r="E524" i="17" s="1"/>
  <c r="K524" i="17" s="1"/>
  <c r="E707" i="17"/>
  <c r="E711" i="17" s="1"/>
  <c r="E351" i="17"/>
  <c r="E355" i="17" s="1"/>
  <c r="K355" i="17" s="1"/>
  <c r="E338" i="17"/>
  <c r="E334" i="17" s="1"/>
  <c r="K334" i="17" s="1"/>
  <c r="E377" i="17"/>
  <c r="E381" i="17" s="1"/>
  <c r="E315" i="17"/>
  <c r="E319" i="17" s="1"/>
  <c r="K319" i="17" s="1"/>
  <c r="E573" i="17"/>
  <c r="E577" i="17" s="1"/>
  <c r="K577" i="17" s="1"/>
  <c r="E601" i="17"/>
  <c r="E605" i="17" s="1"/>
  <c r="K605" i="17" s="1"/>
  <c r="E255" i="17"/>
  <c r="E251" i="17" s="1"/>
  <c r="K251" i="17" s="1"/>
  <c r="E440" i="17"/>
  <c r="E444" i="17" s="1"/>
  <c r="E482" i="17"/>
  <c r="E478" i="17" s="1"/>
  <c r="K478" i="17" s="1"/>
  <c r="N478" i="17" s="1"/>
  <c r="O478" i="17" s="1"/>
  <c r="P478" i="17" s="1"/>
  <c r="E645" i="17"/>
  <c r="E649" i="17" s="1"/>
  <c r="E637" i="17"/>
  <c r="E641" i="17" s="1"/>
  <c r="K641" i="17" s="1"/>
  <c r="E298" i="17"/>
  <c r="E468" i="17"/>
  <c r="E472" i="17" s="1"/>
  <c r="E514" i="17"/>
  <c r="K514" i="17" s="1"/>
  <c r="N514" i="17" s="1"/>
  <c r="E359" i="17"/>
  <c r="E363" i="17" s="1"/>
  <c r="K363" i="17" s="1"/>
  <c r="E405" i="17"/>
  <c r="E409" i="17" s="1"/>
  <c r="E460" i="17"/>
  <c r="E464" i="17" s="1"/>
  <c r="E690" i="17"/>
  <c r="E694" i="17" s="1"/>
  <c r="E467" i="17"/>
  <c r="E471" i="17" s="1"/>
  <c r="E396" i="17"/>
  <c r="E400" i="17" s="1"/>
  <c r="E432" i="17"/>
  <c r="E436" i="17" s="1"/>
  <c r="E558" i="17"/>
  <c r="E554" i="17" s="1"/>
  <c r="K554" i="17" s="1"/>
  <c r="E511" i="17"/>
  <c r="E709" i="17"/>
  <c r="E713" i="17" s="1"/>
  <c r="E564" i="17"/>
  <c r="E568" i="17" s="1"/>
  <c r="K568" i="17" s="1"/>
  <c r="E282" i="17"/>
  <c r="K282" i="17" s="1"/>
  <c r="E324" i="17"/>
  <c r="E328" i="17" s="1"/>
  <c r="K328" i="17" s="1"/>
  <c r="E246" i="17"/>
  <c r="E242" i="17" s="1"/>
  <c r="K242" i="17" s="1"/>
  <c r="E600" i="17"/>
  <c r="E604" i="17" s="1"/>
  <c r="K604" i="17" s="1"/>
  <c r="N604" i="17" s="1"/>
  <c r="E518" i="17"/>
  <c r="E522" i="17" s="1"/>
  <c r="K522" i="17" s="1"/>
  <c r="E519" i="17"/>
  <c r="E523" i="17" s="1"/>
  <c r="K523" i="17" s="1"/>
  <c r="E347" i="17"/>
  <c r="K347" i="17" s="1"/>
  <c r="N347" i="17" s="1"/>
  <c r="E325" i="17"/>
  <c r="E329" i="17" s="1"/>
  <c r="K329" i="17" s="1"/>
  <c r="E673" i="17"/>
  <c r="E677" i="17" s="1"/>
  <c r="E293" i="17"/>
  <c r="E672" i="17"/>
  <c r="E676" i="17" s="1"/>
  <c r="E296" i="17"/>
  <c r="E300" i="17" s="1"/>
  <c r="K300" i="17" s="1"/>
  <c r="E718" i="17"/>
  <c r="E722" i="17" s="1"/>
  <c r="E361" i="17"/>
  <c r="E365" i="17" s="1"/>
  <c r="K365" i="17" s="1"/>
  <c r="E653" i="17"/>
  <c r="E657" i="17" s="1"/>
  <c r="K657" i="17" s="1"/>
  <c r="E509" i="17"/>
  <c r="E395" i="17"/>
  <c r="E399" i="17" s="1"/>
  <c r="E291" i="17"/>
  <c r="E287" i="17" s="1"/>
  <c r="K287" i="17" s="1"/>
  <c r="E345" i="17"/>
  <c r="E341" i="17" s="1"/>
  <c r="K341" i="17" s="1"/>
  <c r="E261" i="17"/>
  <c r="K261" i="17" s="1"/>
  <c r="E529" i="17"/>
  <c r="E533" i="17" s="1"/>
  <c r="K533" i="17" s="1"/>
  <c r="E459" i="17"/>
  <c r="E463" i="17" s="1"/>
  <c r="E491" i="17"/>
  <c r="E487" i="17" s="1"/>
  <c r="K487" i="17" s="1"/>
  <c r="N487" i="17" s="1"/>
  <c r="E369" i="17"/>
  <c r="K369" i="17" s="1"/>
  <c r="E560" i="17"/>
  <c r="K560" i="17" s="1"/>
  <c r="E689" i="17"/>
  <c r="K689" i="17" s="1"/>
  <c r="E654" i="17"/>
  <c r="E658" i="17" s="1"/>
  <c r="E305" i="17"/>
  <c r="E309" i="17" s="1"/>
  <c r="K309" i="17" s="1"/>
  <c r="E636" i="17"/>
  <c r="E640" i="17" s="1"/>
  <c r="E424" i="17"/>
  <c r="E428" i="17" s="1"/>
  <c r="E323" i="17"/>
  <c r="E327" i="17" s="1"/>
  <c r="K327" i="17" s="1"/>
  <c r="E592" i="17"/>
  <c r="E596" i="17" s="1"/>
  <c r="K596" i="17" s="1"/>
  <c r="E628" i="17"/>
  <c r="K628" i="17" s="1"/>
  <c r="E527" i="17"/>
  <c r="E531" i="17" s="1"/>
  <c r="K531" i="17" s="1"/>
  <c r="E387" i="17"/>
  <c r="E391" i="17" s="1"/>
  <c r="E415" i="17"/>
  <c r="K415" i="17" s="1"/>
  <c r="E469" i="17"/>
  <c r="E473" i="17" s="1"/>
  <c r="E664" i="17"/>
  <c r="E668" i="17" s="1"/>
  <c r="E572" i="17"/>
  <c r="K572" i="17" s="1"/>
  <c r="E449" i="17"/>
  <c r="K449" i="17" s="1"/>
  <c r="E260" i="17"/>
  <c r="K260" i="17" s="1"/>
  <c r="E386" i="17"/>
  <c r="K386" i="17" s="1"/>
  <c r="E257" i="17"/>
  <c r="E253" i="17" s="1"/>
  <c r="K253" i="17" s="1"/>
  <c r="E559" i="17"/>
  <c r="E555" i="17" s="1"/>
  <c r="K555" i="17" s="1"/>
  <c r="E700" i="17"/>
  <c r="E704" i="17" s="1"/>
  <c r="E608" i="17"/>
  <c r="E612" i="17" s="1"/>
  <c r="K612" i="17" s="1"/>
  <c r="E307" i="17"/>
  <c r="E655" i="17"/>
  <c r="K655" i="17" s="1"/>
  <c r="E627" i="17"/>
  <c r="E631" i="17" s="1"/>
  <c r="K631" i="17" s="1"/>
  <c r="E433" i="17"/>
  <c r="K433" i="17" s="1"/>
  <c r="E413" i="17"/>
  <c r="E417" i="17" s="1"/>
  <c r="E708" i="17"/>
  <c r="E712" i="17" s="1"/>
  <c r="E489" i="17"/>
  <c r="E485" i="17" s="1"/>
  <c r="K485" i="17" s="1"/>
  <c r="L485" i="17" s="1"/>
  <c r="M485" i="17" s="1"/>
  <c r="E680" i="17"/>
  <c r="E684" i="17" s="1"/>
  <c r="E350" i="17"/>
  <c r="E354" i="17" s="1"/>
  <c r="K354" i="17" s="1"/>
  <c r="N354" i="17" s="1"/>
  <c r="E450" i="17"/>
  <c r="E454" i="17" s="1"/>
  <c r="E663" i="17"/>
  <c r="E667" i="17" s="1"/>
  <c r="E731" i="17"/>
  <c r="E727" i="17" s="1"/>
  <c r="K727" i="17" s="1"/>
  <c r="L727" i="17" s="1"/>
  <c r="M727" i="17" s="1"/>
  <c r="E716" i="17"/>
  <c r="E720" i="17" s="1"/>
  <c r="E451" i="17"/>
  <c r="E455" i="17" s="1"/>
  <c r="E316" i="17"/>
  <c r="E320" i="17" s="1"/>
  <c r="K320" i="17" s="1"/>
  <c r="E247" i="17"/>
  <c r="E243" i="17" s="1"/>
  <c r="K243" i="17" s="1"/>
  <c r="E256" i="17"/>
  <c r="K256" i="17" s="1"/>
  <c r="E581" i="17"/>
  <c r="K581" i="17" s="1"/>
  <c r="E729" i="17"/>
  <c r="E725" i="17" s="1"/>
  <c r="K725" i="17" s="1"/>
  <c r="N725" i="17" s="1"/>
  <c r="O725" i="17" s="1"/>
  <c r="P725" i="17" s="1"/>
  <c r="E271" i="17"/>
  <c r="K271" i="17" s="1"/>
  <c r="E431" i="17"/>
  <c r="E435" i="17" s="1"/>
  <c r="E314" i="17"/>
  <c r="E318" i="17" s="1"/>
  <c r="K318" i="17" s="1"/>
  <c r="E699" i="17"/>
  <c r="E703" i="17" s="1"/>
  <c r="E547" i="17"/>
  <c r="E551" i="17" s="1"/>
  <c r="K551" i="17" s="1"/>
  <c r="E626" i="17"/>
  <c r="E630" i="17" s="1"/>
  <c r="K630" i="17" s="1"/>
  <c r="E292" i="17"/>
  <c r="E288" i="17" s="1"/>
  <c r="K288" i="17" s="1"/>
  <c r="E671" i="17"/>
  <c r="E675" i="17" s="1"/>
  <c r="K675" i="17" s="1"/>
  <c r="E691" i="17"/>
  <c r="E695" i="17" s="1"/>
  <c r="E346" i="17"/>
  <c r="E546" i="17"/>
  <c r="E550" i="17" s="1"/>
  <c r="K550" i="17" s="1"/>
  <c r="E583" i="17"/>
  <c r="E587" i="17" s="1"/>
  <c r="K587" i="17" s="1"/>
  <c r="E662" i="17"/>
  <c r="E666" i="17" s="1"/>
  <c r="K666" i="17" s="1"/>
  <c r="N666" i="17" s="1"/>
  <c r="E717" i="17"/>
  <c r="E721" i="17" s="1"/>
  <c r="E283" i="17"/>
  <c r="K283" i="17" s="1"/>
  <c r="E458" i="17"/>
  <c r="E462" i="17" s="1"/>
  <c r="E617" i="17"/>
  <c r="E621" i="17" s="1"/>
  <c r="K621" i="17" s="1"/>
  <c r="E441" i="17"/>
  <c r="E445" i="17" s="1"/>
  <c r="E423" i="17"/>
  <c r="E427" i="17" s="1"/>
  <c r="E378" i="17"/>
  <c r="E382" i="17" s="1"/>
  <c r="E262" i="17"/>
  <c r="K262" i="17" s="1"/>
  <c r="E582" i="17"/>
  <c r="E586" i="17" s="1"/>
  <c r="K586" i="17" s="1"/>
  <c r="L586" i="17" s="1"/>
  <c r="M586" i="17" s="1"/>
  <c r="E619" i="17"/>
  <c r="E623" i="17" s="1"/>
  <c r="K623" i="17" s="1"/>
  <c r="E590" i="17"/>
  <c r="E594" i="17" s="1"/>
  <c r="K594" i="17" s="1"/>
  <c r="E545" i="17"/>
  <c r="E549" i="17" s="1"/>
  <c r="K549" i="17" s="1"/>
  <c r="E591" i="17"/>
  <c r="E595" i="17" s="1"/>
  <c r="K595" i="17" s="1"/>
  <c r="N595" i="17" s="1"/>
  <c r="E404" i="17"/>
  <c r="K404" i="17" s="1"/>
  <c r="E379" i="17"/>
  <c r="E383" i="17" s="1"/>
  <c r="E730" i="17"/>
  <c r="E726" i="17" s="1"/>
  <c r="E574" i="17"/>
  <c r="K574" i="17" s="1"/>
  <c r="E698" i="17"/>
  <c r="E702" i="17" s="1"/>
  <c r="E248" i="17"/>
  <c r="K248" i="17" s="1"/>
  <c r="E528" i="17"/>
  <c r="E532" i="17" s="1"/>
  <c r="K532" i="17" s="1"/>
  <c r="E610" i="17"/>
  <c r="E614" i="17" s="1"/>
  <c r="K614" i="17" s="1"/>
  <c r="E563" i="17"/>
  <c r="E567" i="17" s="1"/>
  <c r="K567" i="17" s="1"/>
  <c r="E306" i="17"/>
  <c r="E310" i="17" s="1"/>
  <c r="K310" i="17" s="1"/>
  <c r="E422" i="17"/>
  <c r="E426" i="17" s="1"/>
  <c r="E368" i="17"/>
  <c r="E373" i="17" s="1"/>
  <c r="E644" i="17"/>
  <c r="E648" i="17" s="1"/>
  <c r="K648" i="17" s="1"/>
  <c r="E336" i="17"/>
  <c r="E332" i="17" s="1"/>
  <c r="K332" i="17" s="1"/>
  <c r="E337" i="17"/>
  <c r="K337" i="17" s="1"/>
  <c r="E609" i="17"/>
  <c r="E613" i="17" s="1"/>
  <c r="K613" i="17" s="1"/>
  <c r="N613" i="17" s="1"/>
  <c r="E646" i="17"/>
  <c r="E650" i="17" s="1"/>
  <c r="E599" i="17"/>
  <c r="E603" i="17" s="1"/>
  <c r="K603" i="17" s="1"/>
  <c r="L94" i="17"/>
  <c r="M94" i="17" s="1"/>
  <c r="N94" i="17"/>
  <c r="N98" i="17"/>
  <c r="L98" i="17"/>
  <c r="M98" i="17" s="1"/>
  <c r="L541" i="17"/>
  <c r="M541" i="17" s="1"/>
  <c r="N541" i="17"/>
  <c r="L274" i="17"/>
  <c r="M274" i="17" s="1"/>
  <c r="N274" i="17"/>
  <c r="L510" i="17"/>
  <c r="M510" i="17" s="1"/>
  <c r="N510" i="17"/>
  <c r="N538" i="17"/>
  <c r="L538" i="17"/>
  <c r="M538" i="17" s="1"/>
  <c r="N540" i="17"/>
  <c r="L540" i="17"/>
  <c r="M540" i="17" s="1"/>
  <c r="F12" i="17"/>
  <c r="N57" i="17"/>
  <c r="L57" i="17"/>
  <c r="M57" i="17" s="1"/>
  <c r="N736" i="17"/>
  <c r="L736" i="17"/>
  <c r="M736" i="17" s="1"/>
  <c r="N55" i="17"/>
  <c r="L55" i="17"/>
  <c r="M55" i="17" s="1"/>
  <c r="L732" i="17"/>
  <c r="M732" i="17" s="1"/>
  <c r="N56" i="17"/>
  <c r="L56" i="17"/>
  <c r="M56" i="17" s="1"/>
  <c r="N499" i="17"/>
  <c r="L499" i="17"/>
  <c r="M499" i="17" s="1"/>
  <c r="N735" i="17"/>
  <c r="L735" i="17"/>
  <c r="M735" i="17" s="1"/>
  <c r="L54" i="17"/>
  <c r="M54" i="17" s="1"/>
  <c r="N54" i="17"/>
  <c r="N737" i="17"/>
  <c r="L737" i="17"/>
  <c r="M737" i="17" s="1"/>
  <c r="N498" i="17"/>
  <c r="L498" i="17"/>
  <c r="M498" i="17" s="1"/>
  <c r="N43" i="17"/>
  <c r="L43" i="17"/>
  <c r="M43" i="17" s="1"/>
  <c r="N42" i="17"/>
  <c r="L42" i="17"/>
  <c r="M42" i="17" s="1"/>
  <c r="N44" i="17"/>
  <c r="L44" i="17"/>
  <c r="M44" i="17" s="1"/>
  <c r="N210" i="17"/>
  <c r="L210" i="17"/>
  <c r="M210" i="17" s="1"/>
  <c r="N112" i="17"/>
  <c r="L112" i="17"/>
  <c r="M112" i="17" s="1"/>
  <c r="L108" i="17"/>
  <c r="M108" i="17" s="1"/>
  <c r="L78" i="17"/>
  <c r="M78" i="17" s="1"/>
  <c r="N78" i="17"/>
  <c r="N75" i="17"/>
  <c r="L75" i="17"/>
  <c r="M75" i="17" s="1"/>
  <c r="N80" i="17"/>
  <c r="L80" i="17"/>
  <c r="M80" i="17" s="1"/>
  <c r="N96" i="17"/>
  <c r="L96" i="17"/>
  <c r="M96" i="17" s="1"/>
  <c r="N215" i="17"/>
  <c r="L215" i="17"/>
  <c r="M215" i="17" s="1"/>
  <c r="N97" i="17"/>
  <c r="L97" i="17"/>
  <c r="M97" i="17" s="1"/>
  <c r="N213" i="17"/>
  <c r="L213" i="17"/>
  <c r="M213" i="17" s="1"/>
  <c r="N117" i="17"/>
  <c r="L117" i="17"/>
  <c r="M117" i="17" s="1"/>
  <c r="L74" i="17"/>
  <c r="M74" i="17" s="1"/>
  <c r="N74" i="17"/>
  <c r="L504" i="17"/>
  <c r="M504" i="17" s="1"/>
  <c r="L493" i="17"/>
  <c r="M493" i="17" s="1"/>
  <c r="N133" i="17"/>
  <c r="L133" i="17"/>
  <c r="M133" i="17" s="1"/>
  <c r="L135" i="17"/>
  <c r="M135" i="17" s="1"/>
  <c r="N135" i="17"/>
  <c r="N95" i="17"/>
  <c r="L95" i="17"/>
  <c r="M95" i="17" s="1"/>
  <c r="N116" i="17"/>
  <c r="L116" i="17"/>
  <c r="M116" i="17" s="1"/>
  <c r="N216" i="17"/>
  <c r="L216" i="17"/>
  <c r="M216" i="17" s="1"/>
  <c r="N214" i="17"/>
  <c r="L214" i="17"/>
  <c r="M214" i="17" s="1"/>
  <c r="N93" i="17"/>
  <c r="L93" i="17"/>
  <c r="M93" i="17" s="1"/>
  <c r="L109" i="17"/>
  <c r="M109" i="17" s="1"/>
  <c r="N136" i="17"/>
  <c r="L136" i="17"/>
  <c r="M136" i="17" s="1"/>
  <c r="N76" i="17"/>
  <c r="L76" i="17"/>
  <c r="M76" i="17" s="1"/>
  <c r="N79" i="17"/>
  <c r="L79" i="17"/>
  <c r="M79" i="17" s="1"/>
  <c r="N209" i="17"/>
  <c r="L209" i="17"/>
  <c r="M209" i="17" s="1"/>
  <c r="L115" i="17"/>
  <c r="M115" i="17" s="1"/>
  <c r="N115" i="17"/>
  <c r="E397" i="17"/>
  <c r="E388" i="17"/>
  <c r="G684" i="17"/>
  <c r="I650" i="17"/>
  <c r="G640" i="17"/>
  <c r="I600" i="17"/>
  <c r="K234" i="17"/>
  <c r="E238" i="17"/>
  <c r="K238" i="17" s="1"/>
  <c r="K233" i="17"/>
  <c r="E237" i="17"/>
  <c r="K237" i="17" s="1"/>
  <c r="H383" i="17"/>
  <c r="H372" i="17"/>
  <c r="J364" i="17"/>
  <c r="E492" i="17"/>
  <c r="E232" i="17" s="1"/>
  <c r="K217" i="17"/>
  <c r="E114" i="17"/>
  <c r="E503" i="17"/>
  <c r="K503" i="17" s="1"/>
  <c r="K145" i="17"/>
  <c r="E113" i="17"/>
  <c r="K107" i="17"/>
  <c r="E63" i="17"/>
  <c r="E502" i="17"/>
  <c r="K502" i="17" s="1"/>
  <c r="K106" i="17"/>
  <c r="E193" i="17"/>
  <c r="E148" i="17" s="1"/>
  <c r="I263" i="40"/>
  <c r="K41" i="17"/>
  <c r="E45" i="17"/>
  <c r="K45" i="17" s="1"/>
  <c r="E46" i="17"/>
  <c r="K46" i="17" s="1"/>
  <c r="E12" i="17"/>
  <c r="K9" i="17"/>
  <c r="E501" i="17"/>
  <c r="K501" i="17" s="1"/>
  <c r="K497" i="17"/>
  <c r="K221" i="17"/>
  <c r="E138" i="17"/>
  <c r="K138" i="17" s="1"/>
  <c r="K137" i="17"/>
  <c r="E158" i="17"/>
  <c r="K157" i="17"/>
  <c r="K208" i="17"/>
  <c r="F167" i="17"/>
  <c r="F164" i="17"/>
  <c r="F151" i="17"/>
  <c r="F154" i="17"/>
  <c r="K65" i="17"/>
  <c r="K66" i="17"/>
  <c r="K64" i="17"/>
  <c r="F22" i="17"/>
  <c r="K19" i="17"/>
  <c r="F23" i="17"/>
  <c r="K20" i="17"/>
  <c r="K11" i="17"/>
  <c r="E14" i="17"/>
  <c r="F194" i="17"/>
  <c r="I266" i="40"/>
  <c r="K61" i="17"/>
  <c r="K62" i="17"/>
  <c r="L356" i="17" l="1"/>
  <c r="M356" i="17" s="1"/>
  <c r="G627" i="48"/>
  <c r="K618" i="48"/>
  <c r="N337" i="48"/>
  <c r="O337" i="48" s="1"/>
  <c r="P337" i="48" s="1"/>
  <c r="L337" i="48"/>
  <c r="M337" i="48" s="1"/>
  <c r="O600" i="48"/>
  <c r="P600" i="48" s="1"/>
  <c r="G355" i="48"/>
  <c r="K346" i="48"/>
  <c r="L601" i="48"/>
  <c r="M601" i="48" s="1"/>
  <c r="N601" i="48"/>
  <c r="N459" i="48"/>
  <c r="L459" i="48"/>
  <c r="M459" i="48" s="1"/>
  <c r="N617" i="48"/>
  <c r="L617" i="48"/>
  <c r="M617" i="48" s="1"/>
  <c r="N338" i="48"/>
  <c r="O338" i="48" s="1"/>
  <c r="P338" i="48" s="1"/>
  <c r="L338" i="48"/>
  <c r="M338" i="48" s="1"/>
  <c r="G619" i="48"/>
  <c r="K610" i="48"/>
  <c r="G486" i="48"/>
  <c r="K486" i="48" s="1"/>
  <c r="G477" i="48"/>
  <c r="K477" i="48" s="1"/>
  <c r="K468" i="48"/>
  <c r="G635" i="48"/>
  <c r="K626" i="48"/>
  <c r="G356" i="48"/>
  <c r="K347" i="48"/>
  <c r="L460" i="48"/>
  <c r="M460" i="48" s="1"/>
  <c r="N460" i="48"/>
  <c r="O460" i="48" s="1"/>
  <c r="P460" i="48" s="1"/>
  <c r="O603" i="48"/>
  <c r="P603" i="48" s="1"/>
  <c r="N605" i="48"/>
  <c r="L605" i="48"/>
  <c r="M605" i="48" s="1"/>
  <c r="G487" i="48"/>
  <c r="K487" i="48" s="1"/>
  <c r="G478" i="48"/>
  <c r="K478" i="48" s="1"/>
  <c r="K469" i="48"/>
  <c r="G623" i="48"/>
  <c r="K614" i="48"/>
  <c r="N458" i="48"/>
  <c r="L458" i="48"/>
  <c r="M458" i="48" s="1"/>
  <c r="N336" i="48"/>
  <c r="O336" i="48" s="1"/>
  <c r="P336" i="48" s="1"/>
  <c r="L336" i="48"/>
  <c r="M336" i="48" s="1"/>
  <c r="G476" i="48"/>
  <c r="K476" i="48" s="1"/>
  <c r="G485" i="48"/>
  <c r="K485" i="48" s="1"/>
  <c r="K467" i="48"/>
  <c r="O592" i="48"/>
  <c r="P592" i="48" s="1"/>
  <c r="G354" i="48"/>
  <c r="K345" i="48"/>
  <c r="N604" i="48"/>
  <c r="L604" i="48"/>
  <c r="M604" i="48" s="1"/>
  <c r="O595" i="48"/>
  <c r="P595" i="48" s="1"/>
  <c r="N612" i="48"/>
  <c r="L612" i="48"/>
  <c r="M612" i="48" s="1"/>
  <c r="O608" i="48"/>
  <c r="P608" i="48" s="1"/>
  <c r="N609" i="48"/>
  <c r="L609" i="48"/>
  <c r="M609" i="48" s="1"/>
  <c r="O596" i="48"/>
  <c r="P596" i="48" s="1"/>
  <c r="G622" i="48"/>
  <c r="K613" i="48"/>
  <c r="G630" i="48"/>
  <c r="K621" i="48"/>
  <c r="L301" i="17"/>
  <c r="M301" i="17" s="1"/>
  <c r="L30" i="17"/>
  <c r="M30" i="17" s="1"/>
  <c r="K297" i="17"/>
  <c r="N297" i="17" s="1"/>
  <c r="L26" i="17"/>
  <c r="M26" i="17" s="1"/>
  <c r="L50" i="17"/>
  <c r="M50" i="17" s="1"/>
  <c r="N27" i="17"/>
  <c r="O27" i="17" s="1"/>
  <c r="P27" i="17" s="1"/>
  <c r="K352" i="17"/>
  <c r="L352" i="17" s="1"/>
  <c r="M352" i="17" s="1"/>
  <c r="N49" i="17"/>
  <c r="O49" i="17" s="1"/>
  <c r="P49" i="17" s="1"/>
  <c r="N29" i="17"/>
  <c r="O29" i="17" s="1"/>
  <c r="P29" i="17" s="1"/>
  <c r="E177" i="17"/>
  <c r="K177" i="17" s="1"/>
  <c r="E184" i="17"/>
  <c r="E174" i="17"/>
  <c r="K174" i="17" s="1"/>
  <c r="K171" i="17"/>
  <c r="E176" i="17"/>
  <c r="K176" i="17" s="1"/>
  <c r="E186" i="17"/>
  <c r="E179" i="17"/>
  <c r="K179" i="17" s="1"/>
  <c r="K173" i="17"/>
  <c r="E178" i="17"/>
  <c r="K178" i="17" s="1"/>
  <c r="E185" i="17"/>
  <c r="E175" i="17"/>
  <c r="K175" i="17" s="1"/>
  <c r="K172" i="17"/>
  <c r="N48" i="17"/>
  <c r="O48" i="17" s="1"/>
  <c r="P48" i="17" s="1"/>
  <c r="K396" i="17"/>
  <c r="N396" i="17" s="1"/>
  <c r="K573" i="17"/>
  <c r="N573" i="17" s="1"/>
  <c r="K315" i="17"/>
  <c r="L315" i="17" s="1"/>
  <c r="M315" i="17" s="1"/>
  <c r="N476" i="17"/>
  <c r="O476" i="17" s="1"/>
  <c r="P476" i="17" s="1"/>
  <c r="L536" i="17"/>
  <c r="M536" i="17" s="1"/>
  <c r="N360" i="17"/>
  <c r="E275" i="17"/>
  <c r="K275" i="17" s="1"/>
  <c r="L275" i="17" s="1"/>
  <c r="M275" i="17" s="1"/>
  <c r="K379" i="17"/>
  <c r="N379" i="17" s="1"/>
  <c r="K296" i="17"/>
  <c r="N296" i="17" s="1"/>
  <c r="E278" i="17"/>
  <c r="K278" i="17" s="1"/>
  <c r="N278" i="17" s="1"/>
  <c r="K700" i="17"/>
  <c r="L700" i="17" s="1"/>
  <c r="M700" i="17" s="1"/>
  <c r="N537" i="17"/>
  <c r="N406" i="17"/>
  <c r="E266" i="17"/>
  <c r="K266" i="17" s="1"/>
  <c r="L266" i="17" s="1"/>
  <c r="M266" i="17" s="1"/>
  <c r="E279" i="17"/>
  <c r="K279" i="17" s="1"/>
  <c r="N279" i="17" s="1"/>
  <c r="K592" i="17"/>
  <c r="N592" i="17" s="1"/>
  <c r="K707" i="17"/>
  <c r="L707" i="17" s="1"/>
  <c r="M707" i="17" s="1"/>
  <c r="E576" i="17"/>
  <c r="K576" i="17" s="1"/>
  <c r="N576" i="17" s="1"/>
  <c r="K467" i="17"/>
  <c r="L467" i="17" s="1"/>
  <c r="M467" i="17" s="1"/>
  <c r="L478" i="17"/>
  <c r="M478" i="17" s="1"/>
  <c r="K13" i="17"/>
  <c r="N13" i="17" s="1"/>
  <c r="K709" i="17"/>
  <c r="N709" i="17" s="1"/>
  <c r="L10" i="17"/>
  <c r="M10" i="17" s="1"/>
  <c r="K529" i="17"/>
  <c r="N529" i="17" s="1"/>
  <c r="E446" i="17"/>
  <c r="L542" i="17"/>
  <c r="M542" i="17" s="1"/>
  <c r="K18" i="17"/>
  <c r="N18" i="17" s="1"/>
  <c r="L604" i="17"/>
  <c r="M604" i="17" s="1"/>
  <c r="F21" i="17"/>
  <c r="F37" i="17" s="1"/>
  <c r="K37" i="17" s="1"/>
  <c r="K441" i="17"/>
  <c r="L441" i="17" s="1"/>
  <c r="M441" i="17" s="1"/>
  <c r="K395" i="17"/>
  <c r="L395" i="17" s="1"/>
  <c r="M395" i="17" s="1"/>
  <c r="L270" i="17"/>
  <c r="M270" i="17" s="1"/>
  <c r="L34" i="17"/>
  <c r="M34" i="17" s="1"/>
  <c r="N34" i="17"/>
  <c r="K23" i="17"/>
  <c r="L23" i="17" s="1"/>
  <c r="M23" i="17" s="1"/>
  <c r="F39" i="17"/>
  <c r="K39" i="17" s="1"/>
  <c r="K22" i="17"/>
  <c r="L22" i="17" s="1"/>
  <c r="M22" i="17" s="1"/>
  <c r="F38" i="17"/>
  <c r="K38" i="17" s="1"/>
  <c r="K345" i="17"/>
  <c r="N345" i="17" s="1"/>
  <c r="K377" i="17"/>
  <c r="L377" i="17" s="1"/>
  <c r="M377" i="17" s="1"/>
  <c r="E453" i="17"/>
  <c r="K269" i="17"/>
  <c r="N269" i="17" s="1"/>
  <c r="E265" i="17"/>
  <c r="K265" i="17" s="1"/>
  <c r="N265" i="17" s="1"/>
  <c r="F28" i="17"/>
  <c r="K28" i="17" s="1"/>
  <c r="K25" i="17"/>
  <c r="K432" i="17"/>
  <c r="N432" i="17" s="1"/>
  <c r="K284" i="17"/>
  <c r="L284" i="17" s="1"/>
  <c r="M284" i="17" s="1"/>
  <c r="K255" i="17"/>
  <c r="L255" i="17" s="1"/>
  <c r="M255" i="17" s="1"/>
  <c r="E693" i="17"/>
  <c r="K617" i="17"/>
  <c r="N617" i="17" s="1"/>
  <c r="K350" i="17"/>
  <c r="N350" i="17" s="1"/>
  <c r="K718" i="17"/>
  <c r="L718" i="17" s="1"/>
  <c r="M718" i="17" s="1"/>
  <c r="K367" i="17"/>
  <c r="N367" i="17" s="1"/>
  <c r="K601" i="17"/>
  <c r="N601" i="17" s="1"/>
  <c r="K664" i="17"/>
  <c r="L664" i="17" s="1"/>
  <c r="M664" i="17" s="1"/>
  <c r="K246" i="17"/>
  <c r="N246" i="17" s="1"/>
  <c r="E632" i="17"/>
  <c r="K632" i="17" s="1"/>
  <c r="N632" i="17" s="1"/>
  <c r="K518" i="17"/>
  <c r="L518" i="17" s="1"/>
  <c r="M518" i="17" s="1"/>
  <c r="K257" i="17"/>
  <c r="N257" i="17" s="1"/>
  <c r="L622" i="17"/>
  <c r="M622" i="17" s="1"/>
  <c r="K468" i="17"/>
  <c r="L468" i="17" s="1"/>
  <c r="M468" i="17" s="1"/>
  <c r="K599" i="17"/>
  <c r="L599" i="17" s="1"/>
  <c r="M599" i="17" s="1"/>
  <c r="K423" i="17"/>
  <c r="N423" i="17" s="1"/>
  <c r="K387" i="17"/>
  <c r="L387" i="17" s="1"/>
  <c r="M387" i="17" s="1"/>
  <c r="K431" i="17"/>
  <c r="L431" i="17" s="1"/>
  <c r="M431" i="17" s="1"/>
  <c r="L595" i="17"/>
  <c r="M595" i="17" s="1"/>
  <c r="K378" i="17"/>
  <c r="L378" i="17" s="1"/>
  <c r="M378" i="17" s="1"/>
  <c r="K405" i="17"/>
  <c r="L405" i="17" s="1"/>
  <c r="M405" i="17" s="1"/>
  <c r="E374" i="17"/>
  <c r="K374" i="17" s="1"/>
  <c r="N374" i="17" s="1"/>
  <c r="K306" i="17"/>
  <c r="N306" i="17" s="1"/>
  <c r="E408" i="17"/>
  <c r="K682" i="17"/>
  <c r="L682" i="17" s="1"/>
  <c r="M682" i="17" s="1"/>
  <c r="K558" i="17"/>
  <c r="L558" i="17" s="1"/>
  <c r="M558" i="17" s="1"/>
  <c r="E569" i="17"/>
  <c r="K569" i="17" s="1"/>
  <c r="N569" i="17" s="1"/>
  <c r="K563" i="17"/>
  <c r="N563" i="17" s="1"/>
  <c r="K323" i="17"/>
  <c r="N323" i="17" s="1"/>
  <c r="K559" i="17"/>
  <c r="N559" i="17" s="1"/>
  <c r="K247" i="17"/>
  <c r="L247" i="17" s="1"/>
  <c r="M247" i="17" s="1"/>
  <c r="L487" i="17"/>
  <c r="M487" i="17" s="1"/>
  <c r="K716" i="17"/>
  <c r="N716" i="17" s="1"/>
  <c r="K662" i="17"/>
  <c r="L662" i="17" s="1"/>
  <c r="M662" i="17" s="1"/>
  <c r="K698" i="17"/>
  <c r="N698" i="17" s="1"/>
  <c r="K653" i="17"/>
  <c r="N653" i="17" s="1"/>
  <c r="E585" i="17"/>
  <c r="K585" i="17" s="1"/>
  <c r="L585" i="17" s="1"/>
  <c r="M585" i="17" s="1"/>
  <c r="K608" i="17"/>
  <c r="N608" i="17" s="1"/>
  <c r="K583" i="17"/>
  <c r="L583" i="17" s="1"/>
  <c r="M583" i="17" s="1"/>
  <c r="E578" i="17"/>
  <c r="K578" i="17" s="1"/>
  <c r="N578" i="17" s="1"/>
  <c r="K450" i="17"/>
  <c r="N450" i="17" s="1"/>
  <c r="K546" i="17"/>
  <c r="L546" i="17" s="1"/>
  <c r="M546" i="17" s="1"/>
  <c r="E264" i="17"/>
  <c r="K264" i="17" s="1"/>
  <c r="N264" i="17" s="1"/>
  <c r="K305" i="17"/>
  <c r="N305" i="17" s="1"/>
  <c r="N727" i="17"/>
  <c r="O727" i="17" s="1"/>
  <c r="P727" i="17" s="1"/>
  <c r="E659" i="17"/>
  <c r="K291" i="17"/>
  <c r="N291" i="17" s="1"/>
  <c r="K528" i="17"/>
  <c r="N528" i="17" s="1"/>
  <c r="N586" i="17"/>
  <c r="K590" i="17"/>
  <c r="N590" i="17" s="1"/>
  <c r="K582" i="17"/>
  <c r="L582" i="17" s="1"/>
  <c r="M582" i="17" s="1"/>
  <c r="K469" i="17"/>
  <c r="L469" i="17" s="1"/>
  <c r="M469" i="17" s="1"/>
  <c r="K361" i="17"/>
  <c r="N361" i="17" s="1"/>
  <c r="K338" i="17"/>
  <c r="N338" i="17" s="1"/>
  <c r="E437" i="17"/>
  <c r="E343" i="17"/>
  <c r="K343" i="17" s="1"/>
  <c r="L343" i="17" s="1"/>
  <c r="M343" i="17" s="1"/>
  <c r="E419" i="17"/>
  <c r="E289" i="17"/>
  <c r="K289" i="17" s="1"/>
  <c r="K293" i="17"/>
  <c r="L613" i="17"/>
  <c r="M613" i="17" s="1"/>
  <c r="K316" i="17"/>
  <c r="N316" i="17" s="1"/>
  <c r="K451" i="17"/>
  <c r="N451" i="17" s="1"/>
  <c r="K368" i="17"/>
  <c r="N368" i="17" s="1"/>
  <c r="K413" i="17"/>
  <c r="L413" i="17" s="1"/>
  <c r="M413" i="17" s="1"/>
  <c r="K325" i="17"/>
  <c r="L325" i="17" s="1"/>
  <c r="M325" i="17" s="1"/>
  <c r="E513" i="17"/>
  <c r="K513" i="17" s="1"/>
  <c r="K509" i="17"/>
  <c r="E556" i="17"/>
  <c r="K556" i="17" s="1"/>
  <c r="N556" i="17" s="1"/>
  <c r="O556" i="17" s="1"/>
  <c r="P556" i="17" s="1"/>
  <c r="K520" i="17"/>
  <c r="L520" i="17" s="1"/>
  <c r="M520" i="17" s="1"/>
  <c r="E252" i="17"/>
  <c r="K252" i="17" s="1"/>
  <c r="N252" i="17" s="1"/>
  <c r="E390" i="17"/>
  <c r="K564" i="17"/>
  <c r="N564" i="17" s="1"/>
  <c r="K458" i="17"/>
  <c r="N458" i="17" s="1"/>
  <c r="E515" i="17"/>
  <c r="K515" i="17" s="1"/>
  <c r="K511" i="17"/>
  <c r="K336" i="17"/>
  <c r="N336" i="17" s="1"/>
  <c r="L725" i="17"/>
  <c r="M725" i="17" s="1"/>
  <c r="K422" i="17"/>
  <c r="N422" i="17" s="1"/>
  <c r="K644" i="17"/>
  <c r="N644" i="17" s="1"/>
  <c r="E311" i="17"/>
  <c r="K311" i="17" s="1"/>
  <c r="K307" i="17"/>
  <c r="K671" i="17"/>
  <c r="N671" i="17" s="1"/>
  <c r="K635" i="17"/>
  <c r="N635" i="17" s="1"/>
  <c r="K359" i="17"/>
  <c r="L359" i="17" s="1"/>
  <c r="M359" i="17" s="1"/>
  <c r="K619" i="17"/>
  <c r="N619" i="17" s="1"/>
  <c r="K324" i="17"/>
  <c r="N324" i="17" s="1"/>
  <c r="K591" i="17"/>
  <c r="L591" i="17" s="1"/>
  <c r="M591" i="17" s="1"/>
  <c r="K460" i="17"/>
  <c r="N460" i="17" s="1"/>
  <c r="L347" i="17"/>
  <c r="M347" i="17" s="1"/>
  <c r="L666" i="17"/>
  <c r="M666" i="17" s="1"/>
  <c r="K527" i="17"/>
  <c r="N527" i="17" s="1"/>
  <c r="K691" i="17"/>
  <c r="L691" i="17" s="1"/>
  <c r="M691" i="17" s="1"/>
  <c r="K626" i="17"/>
  <c r="L626" i="17" s="1"/>
  <c r="M626" i="17" s="1"/>
  <c r="K519" i="17"/>
  <c r="N519" i="17" s="1"/>
  <c r="K440" i="17"/>
  <c r="N440" i="17" s="1"/>
  <c r="N485" i="17"/>
  <c r="E302" i="17"/>
  <c r="K302" i="17" s="1"/>
  <c r="K298" i="17"/>
  <c r="E333" i="17"/>
  <c r="K333" i="17" s="1"/>
  <c r="L333" i="17" s="1"/>
  <c r="M333" i="17" s="1"/>
  <c r="E244" i="17"/>
  <c r="K244" i="17" s="1"/>
  <c r="N244" i="17" s="1"/>
  <c r="K424" i="17"/>
  <c r="L424" i="17" s="1"/>
  <c r="M424" i="17" s="1"/>
  <c r="K673" i="17"/>
  <c r="N673" i="17" s="1"/>
  <c r="K637" i="17"/>
  <c r="L637" i="17" s="1"/>
  <c r="M637" i="17" s="1"/>
  <c r="L514" i="17"/>
  <c r="M514" i="17" s="1"/>
  <c r="K545" i="17"/>
  <c r="N545" i="17" s="1"/>
  <c r="K292" i="17"/>
  <c r="N292" i="17" s="1"/>
  <c r="K314" i="17"/>
  <c r="L314" i="17" s="1"/>
  <c r="M314" i="17" s="1"/>
  <c r="E342" i="17"/>
  <c r="K342" i="17" s="1"/>
  <c r="K346" i="17"/>
  <c r="K547" i="17"/>
  <c r="N547" i="17" s="1"/>
  <c r="K414" i="17"/>
  <c r="N414" i="17" s="1"/>
  <c r="K646" i="17"/>
  <c r="L646" i="17" s="1"/>
  <c r="M646" i="17" s="1"/>
  <c r="K680" i="17"/>
  <c r="N680" i="17" s="1"/>
  <c r="K459" i="17"/>
  <c r="N459" i="17" s="1"/>
  <c r="K351" i="17"/>
  <c r="N351" i="17" s="1"/>
  <c r="K610" i="17"/>
  <c r="N610" i="17" s="1"/>
  <c r="L354" i="17"/>
  <c r="M354" i="17" s="1"/>
  <c r="L319" i="17"/>
  <c r="M319" i="17" s="1"/>
  <c r="N319" i="17"/>
  <c r="L605" i="17"/>
  <c r="M605" i="17" s="1"/>
  <c r="N605" i="17"/>
  <c r="N657" i="17"/>
  <c r="L657" i="17"/>
  <c r="M657" i="17" s="1"/>
  <c r="N581" i="17"/>
  <c r="L581" i="17"/>
  <c r="M581" i="17" s="1"/>
  <c r="N271" i="17"/>
  <c r="L271" i="17"/>
  <c r="M271" i="17" s="1"/>
  <c r="N560" i="17"/>
  <c r="L560" i="17"/>
  <c r="M560" i="17" s="1"/>
  <c r="N655" i="17"/>
  <c r="L655" i="17"/>
  <c r="M655" i="17" s="1"/>
  <c r="N282" i="17"/>
  <c r="L282" i="17"/>
  <c r="M282" i="17" s="1"/>
  <c r="N555" i="17"/>
  <c r="O555" i="17" s="1"/>
  <c r="P555" i="17" s="1"/>
  <c r="L555" i="17"/>
  <c r="M555" i="17" s="1"/>
  <c r="N648" i="17"/>
  <c r="L648" i="17"/>
  <c r="M648" i="17" s="1"/>
  <c r="N524" i="17"/>
  <c r="L524" i="17"/>
  <c r="M524" i="17" s="1"/>
  <c r="L532" i="17"/>
  <c r="M532" i="17" s="1"/>
  <c r="N532" i="17"/>
  <c r="N568" i="17"/>
  <c r="L568" i="17"/>
  <c r="M568" i="17" s="1"/>
  <c r="L256" i="17"/>
  <c r="M256" i="17" s="1"/>
  <c r="N256" i="17"/>
  <c r="N628" i="17"/>
  <c r="L628" i="17"/>
  <c r="M628" i="17" s="1"/>
  <c r="N572" i="17"/>
  <c r="L572" i="17"/>
  <c r="M572" i="17" s="1"/>
  <c r="N577" i="17"/>
  <c r="L577" i="17"/>
  <c r="M577" i="17" s="1"/>
  <c r="N614" i="17"/>
  <c r="L614" i="17"/>
  <c r="M614" i="17" s="1"/>
  <c r="L243" i="17"/>
  <c r="M243" i="17" s="1"/>
  <c r="N243" i="17"/>
  <c r="L523" i="17"/>
  <c r="M523" i="17" s="1"/>
  <c r="N523" i="17"/>
  <c r="N522" i="17"/>
  <c r="L522" i="17"/>
  <c r="M522" i="17" s="1"/>
  <c r="N596" i="17"/>
  <c r="L596" i="17"/>
  <c r="M596" i="17" s="1"/>
  <c r="N550" i="17"/>
  <c r="L550" i="17"/>
  <c r="M550" i="17" s="1"/>
  <c r="N337" i="17"/>
  <c r="L337" i="17"/>
  <c r="M337" i="17" s="1"/>
  <c r="N283" i="17"/>
  <c r="L283" i="17"/>
  <c r="M283" i="17" s="1"/>
  <c r="L261" i="17"/>
  <c r="M261" i="17" s="1"/>
  <c r="N261" i="17"/>
  <c r="L242" i="17"/>
  <c r="M242" i="17" s="1"/>
  <c r="N242" i="17"/>
  <c r="L554" i="17"/>
  <c r="M554" i="17" s="1"/>
  <c r="N554" i="17"/>
  <c r="O554" i="17" s="1"/>
  <c r="P554" i="17" s="1"/>
  <c r="L332" i="17"/>
  <c r="M332" i="17" s="1"/>
  <c r="N332" i="17"/>
  <c r="O332" i="17" s="1"/>
  <c r="P332" i="17" s="1"/>
  <c r="N318" i="17"/>
  <c r="L318" i="17"/>
  <c r="M318" i="17" s="1"/>
  <c r="N612" i="17"/>
  <c r="L612" i="17"/>
  <c r="M612" i="17" s="1"/>
  <c r="N328" i="17"/>
  <c r="L328" i="17"/>
  <c r="M328" i="17" s="1"/>
  <c r="L623" i="17"/>
  <c r="M623" i="17" s="1"/>
  <c r="N623" i="17"/>
  <c r="L639" i="17"/>
  <c r="M639" i="17" s="1"/>
  <c r="N639" i="17"/>
  <c r="N603" i="17"/>
  <c r="L603" i="17"/>
  <c r="M603" i="17" s="1"/>
  <c r="N567" i="17"/>
  <c r="L567" i="17"/>
  <c r="M567" i="17" s="1"/>
  <c r="N310" i="17"/>
  <c r="L310" i="17"/>
  <c r="M310" i="17" s="1"/>
  <c r="L386" i="17"/>
  <c r="M386" i="17" s="1"/>
  <c r="N386" i="17"/>
  <c r="L574" i="17"/>
  <c r="M574" i="17" s="1"/>
  <c r="N574" i="17"/>
  <c r="L404" i="17"/>
  <c r="M404" i="17" s="1"/>
  <c r="N404" i="17"/>
  <c r="N449" i="17"/>
  <c r="L449" i="17"/>
  <c r="M449" i="17" s="1"/>
  <c r="N689" i="17"/>
  <c r="L689" i="17"/>
  <c r="M689" i="17" s="1"/>
  <c r="N260" i="17"/>
  <c r="L260" i="17"/>
  <c r="M260" i="17" s="1"/>
  <c r="N594" i="17"/>
  <c r="L594" i="17"/>
  <c r="M594" i="17" s="1"/>
  <c r="N327" i="17"/>
  <c r="L327" i="17"/>
  <c r="M327" i="17" s="1"/>
  <c r="N630" i="17"/>
  <c r="L630" i="17"/>
  <c r="M630" i="17" s="1"/>
  <c r="L341" i="17"/>
  <c r="M341" i="17" s="1"/>
  <c r="N341" i="17"/>
  <c r="O341" i="17" s="1"/>
  <c r="P341" i="17" s="1"/>
  <c r="N251" i="17"/>
  <c r="L251" i="17"/>
  <c r="M251" i="17" s="1"/>
  <c r="L551" i="17"/>
  <c r="M551" i="17" s="1"/>
  <c r="N551" i="17"/>
  <c r="N531" i="17"/>
  <c r="L531" i="17"/>
  <c r="M531" i="17" s="1"/>
  <c r="L288" i="17"/>
  <c r="M288" i="17" s="1"/>
  <c r="N288" i="17"/>
  <c r="O288" i="17" s="1"/>
  <c r="P288" i="17" s="1"/>
  <c r="N565" i="17"/>
  <c r="L565" i="17"/>
  <c r="M565" i="17" s="1"/>
  <c r="N621" i="17"/>
  <c r="L621" i="17"/>
  <c r="M621" i="17" s="1"/>
  <c r="N309" i="17"/>
  <c r="L309" i="17"/>
  <c r="M309" i="17" s="1"/>
  <c r="N549" i="17"/>
  <c r="L549" i="17"/>
  <c r="M549" i="17" s="1"/>
  <c r="L300" i="17"/>
  <c r="M300" i="17" s="1"/>
  <c r="N300" i="17"/>
  <c r="N533" i="17"/>
  <c r="L533" i="17"/>
  <c r="M533" i="17" s="1"/>
  <c r="N273" i="17"/>
  <c r="L273" i="17"/>
  <c r="M273" i="17" s="1"/>
  <c r="L587" i="17"/>
  <c r="M587" i="17" s="1"/>
  <c r="N587" i="17"/>
  <c r="L287" i="17"/>
  <c r="M287" i="17" s="1"/>
  <c r="N287" i="17"/>
  <c r="O287" i="17" s="1"/>
  <c r="P287" i="17" s="1"/>
  <c r="L334" i="17"/>
  <c r="M334" i="17" s="1"/>
  <c r="N334" i="17"/>
  <c r="O334" i="17" s="1"/>
  <c r="P334" i="17" s="1"/>
  <c r="E161" i="17"/>
  <c r="E167" i="17" s="1"/>
  <c r="K167" i="17" s="1"/>
  <c r="N157" i="17"/>
  <c r="L157" i="17"/>
  <c r="M157" i="17" s="1"/>
  <c r="N631" i="17"/>
  <c r="L631" i="17"/>
  <c r="M631" i="17" s="1"/>
  <c r="N675" i="17"/>
  <c r="L675" i="17"/>
  <c r="M675" i="17" s="1"/>
  <c r="N502" i="17"/>
  <c r="L502" i="17"/>
  <c r="M502" i="17" s="1"/>
  <c r="N641" i="17"/>
  <c r="L641" i="17"/>
  <c r="M641" i="17" s="1"/>
  <c r="N20" i="17"/>
  <c r="L20" i="17"/>
  <c r="M20" i="17" s="1"/>
  <c r="N19" i="17"/>
  <c r="L19" i="17"/>
  <c r="M19" i="17" s="1"/>
  <c r="N503" i="17"/>
  <c r="L503" i="17"/>
  <c r="M503" i="17" s="1"/>
  <c r="N46" i="17"/>
  <c r="L46" i="17"/>
  <c r="M46" i="17" s="1"/>
  <c r="N45" i="17"/>
  <c r="L45" i="17"/>
  <c r="M45" i="17" s="1"/>
  <c r="L41" i="17"/>
  <c r="M41" i="17" s="1"/>
  <c r="N41" i="17"/>
  <c r="L11" i="17"/>
  <c r="M11" i="17" s="1"/>
  <c r="K14" i="17"/>
  <c r="N14" i="17" s="1"/>
  <c r="N11" i="17"/>
  <c r="K12" i="17"/>
  <c r="N12" i="17" s="1"/>
  <c r="N9" i="17"/>
  <c r="L9" i="17"/>
  <c r="M9" i="17" s="1"/>
  <c r="L234" i="17"/>
  <c r="M234" i="17" s="1"/>
  <c r="N234" i="17"/>
  <c r="L248" i="17"/>
  <c r="M248" i="17" s="1"/>
  <c r="N248" i="17"/>
  <c r="L369" i="17"/>
  <c r="M369" i="17" s="1"/>
  <c r="N369" i="17"/>
  <c r="N280" i="17"/>
  <c r="L280" i="17"/>
  <c r="M280" i="17" s="1"/>
  <c r="N329" i="17"/>
  <c r="L329" i="17"/>
  <c r="M329" i="17" s="1"/>
  <c r="N66" i="17"/>
  <c r="L66" i="17"/>
  <c r="M66" i="17" s="1"/>
  <c r="N355" i="17"/>
  <c r="L355" i="17"/>
  <c r="M355" i="17" s="1"/>
  <c r="N320" i="17"/>
  <c r="L320" i="17"/>
  <c r="M320" i="17" s="1"/>
  <c r="N62" i="17"/>
  <c r="L62" i="17"/>
  <c r="M62" i="17" s="1"/>
  <c r="L145" i="17"/>
  <c r="M145" i="17" s="1"/>
  <c r="N65" i="17"/>
  <c r="L65" i="17"/>
  <c r="M65" i="17" s="1"/>
  <c r="N221" i="17"/>
  <c r="L221" i="17"/>
  <c r="M221" i="17" s="1"/>
  <c r="L106" i="17"/>
  <c r="M106" i="17" s="1"/>
  <c r="N253" i="17"/>
  <c r="L253" i="17"/>
  <c r="M253" i="17" s="1"/>
  <c r="N363" i="17"/>
  <c r="L363" i="17"/>
  <c r="M363" i="17" s="1"/>
  <c r="N433" i="17"/>
  <c r="L433" i="17"/>
  <c r="M433" i="17" s="1"/>
  <c r="N262" i="17"/>
  <c r="L262" i="17"/>
  <c r="M262" i="17" s="1"/>
  <c r="N138" i="17"/>
  <c r="L138" i="17"/>
  <c r="M138" i="17" s="1"/>
  <c r="N64" i="17"/>
  <c r="L64" i="17"/>
  <c r="M64" i="17" s="1"/>
  <c r="N501" i="17"/>
  <c r="L501" i="17"/>
  <c r="M501" i="17" s="1"/>
  <c r="L107" i="17"/>
  <c r="M107" i="17" s="1"/>
  <c r="N415" i="17"/>
  <c r="L415" i="17"/>
  <c r="M415" i="17" s="1"/>
  <c r="N237" i="17"/>
  <c r="L237" i="17"/>
  <c r="M237" i="17" s="1"/>
  <c r="N61" i="17"/>
  <c r="L61" i="17"/>
  <c r="M61" i="17" s="1"/>
  <c r="N233" i="17"/>
  <c r="L233" i="17"/>
  <c r="M233" i="17" s="1"/>
  <c r="L442" i="17"/>
  <c r="M442" i="17" s="1"/>
  <c r="N442" i="17"/>
  <c r="N137" i="17"/>
  <c r="L137" i="17"/>
  <c r="M137" i="17" s="1"/>
  <c r="N497" i="17"/>
  <c r="L497" i="17"/>
  <c r="M497" i="17" s="1"/>
  <c r="L208" i="17"/>
  <c r="M208" i="17" s="1"/>
  <c r="N208" i="17"/>
  <c r="L217" i="17"/>
  <c r="M217" i="17" s="1"/>
  <c r="N238" i="17"/>
  <c r="L238" i="17"/>
  <c r="M238" i="17" s="1"/>
  <c r="N365" i="17"/>
  <c r="L365" i="17"/>
  <c r="M365" i="17" s="1"/>
  <c r="E392" i="17"/>
  <c r="K388" i="17"/>
  <c r="E401" i="17"/>
  <c r="K397" i="17"/>
  <c r="K684" i="17"/>
  <c r="G693" i="17"/>
  <c r="K650" i="17"/>
  <c r="I659" i="17"/>
  <c r="K640" i="17"/>
  <c r="G649" i="17"/>
  <c r="K600" i="17"/>
  <c r="I609" i="17"/>
  <c r="K232" i="17"/>
  <c r="E236" i="17"/>
  <c r="K236" i="17" s="1"/>
  <c r="K383" i="17"/>
  <c r="H392" i="17"/>
  <c r="K372" i="17"/>
  <c r="H381" i="17"/>
  <c r="K364" i="17"/>
  <c r="J373" i="17"/>
  <c r="K492" i="17"/>
  <c r="K114" i="17"/>
  <c r="K113" i="17"/>
  <c r="K63" i="17"/>
  <c r="K193" i="17"/>
  <c r="K148" i="17"/>
  <c r="E154" i="17"/>
  <c r="K154" i="17" s="1"/>
  <c r="E151" i="17"/>
  <c r="K151" i="17" s="1"/>
  <c r="E194" i="17"/>
  <c r="E149" i="17" s="1"/>
  <c r="I265" i="40"/>
  <c r="E159" i="17"/>
  <c r="K159" i="17" s="1"/>
  <c r="K158" i="17"/>
  <c r="F195" i="17"/>
  <c r="F149" i="17"/>
  <c r="F162" i="17" s="1"/>
  <c r="L573" i="17" l="1"/>
  <c r="M573" i="17" s="1"/>
  <c r="O609" i="48"/>
  <c r="P609" i="48" s="1"/>
  <c r="L469" i="48"/>
  <c r="M469" i="48" s="1"/>
  <c r="N469" i="48"/>
  <c r="N626" i="48"/>
  <c r="O626" i="48" s="1"/>
  <c r="P626" i="48" s="1"/>
  <c r="L626" i="48"/>
  <c r="M626" i="48" s="1"/>
  <c r="O459" i="48"/>
  <c r="P459" i="48" s="1"/>
  <c r="N478" i="48"/>
  <c r="O478" i="48" s="1"/>
  <c r="P478" i="48" s="1"/>
  <c r="L478" i="48"/>
  <c r="M478" i="48" s="1"/>
  <c r="G644" i="48"/>
  <c r="K635" i="48"/>
  <c r="O601" i="48"/>
  <c r="P601" i="48" s="1"/>
  <c r="N467" i="48"/>
  <c r="L467" i="48"/>
  <c r="M467" i="48" s="1"/>
  <c r="N487" i="48"/>
  <c r="O487" i="48" s="1"/>
  <c r="P487" i="48" s="1"/>
  <c r="L487" i="48"/>
  <c r="M487" i="48" s="1"/>
  <c r="N468" i="48"/>
  <c r="O468" i="48" s="1"/>
  <c r="P468" i="48" s="1"/>
  <c r="L468" i="48"/>
  <c r="M468" i="48" s="1"/>
  <c r="N485" i="48"/>
  <c r="O485" i="48" s="1"/>
  <c r="P485" i="48" s="1"/>
  <c r="L485" i="48"/>
  <c r="M485" i="48" s="1"/>
  <c r="N477" i="48"/>
  <c r="L477" i="48"/>
  <c r="M477" i="48" s="1"/>
  <c r="O612" i="48"/>
  <c r="P612" i="48" s="1"/>
  <c r="N476" i="48"/>
  <c r="L476" i="48"/>
  <c r="M476" i="48" s="1"/>
  <c r="L486" i="48"/>
  <c r="M486" i="48" s="1"/>
  <c r="N486" i="48"/>
  <c r="N346" i="48"/>
  <c r="O346" i="48" s="1"/>
  <c r="P346" i="48" s="1"/>
  <c r="L346" i="48"/>
  <c r="M346" i="48" s="1"/>
  <c r="L621" i="48"/>
  <c r="M621" i="48" s="1"/>
  <c r="N621" i="48"/>
  <c r="O605" i="48"/>
  <c r="P605" i="48" s="1"/>
  <c r="N610" i="48"/>
  <c r="L610" i="48"/>
  <c r="M610" i="48" s="1"/>
  <c r="G364" i="48"/>
  <c r="K355" i="48"/>
  <c r="G639" i="48"/>
  <c r="K630" i="48"/>
  <c r="G628" i="48"/>
  <c r="K619" i="48"/>
  <c r="N613" i="48"/>
  <c r="L613" i="48"/>
  <c r="M613" i="48" s="1"/>
  <c r="G631" i="48"/>
  <c r="K622" i="48"/>
  <c r="O604" i="48"/>
  <c r="P604" i="48" s="1"/>
  <c r="O458" i="48"/>
  <c r="P458" i="48" s="1"/>
  <c r="L297" i="17"/>
  <c r="M297" i="17" s="1"/>
  <c r="N345" i="48"/>
  <c r="O345" i="48" s="1"/>
  <c r="P345" i="48" s="1"/>
  <c r="L345" i="48"/>
  <c r="M345" i="48" s="1"/>
  <c r="N614" i="48"/>
  <c r="O614" i="48" s="1"/>
  <c r="P614" i="48" s="1"/>
  <c r="L614" i="48"/>
  <c r="M614" i="48" s="1"/>
  <c r="N347" i="48"/>
  <c r="O347" i="48" s="1"/>
  <c r="P347" i="48" s="1"/>
  <c r="L347" i="48"/>
  <c r="M347" i="48" s="1"/>
  <c r="O617" i="48"/>
  <c r="P617" i="48" s="1"/>
  <c r="N618" i="48"/>
  <c r="O618" i="48" s="1"/>
  <c r="P618" i="48" s="1"/>
  <c r="L618" i="48"/>
  <c r="M618" i="48" s="1"/>
  <c r="G363" i="48"/>
  <c r="K354" i="48"/>
  <c r="G632" i="48"/>
  <c r="K623" i="48"/>
  <c r="G365" i="48"/>
  <c r="K356" i="48"/>
  <c r="G636" i="48"/>
  <c r="K627" i="48"/>
  <c r="N352" i="17"/>
  <c r="N315" i="17"/>
  <c r="L396" i="17"/>
  <c r="M396" i="17" s="1"/>
  <c r="E191" i="17"/>
  <c r="K191" i="17" s="1"/>
  <c r="K185" i="17"/>
  <c r="E188" i="17"/>
  <c r="K188" i="17" s="1"/>
  <c r="L173" i="17"/>
  <c r="M173" i="17" s="1"/>
  <c r="N173" i="17"/>
  <c r="O173" i="17" s="1"/>
  <c r="P173" i="17" s="1"/>
  <c r="L178" i="17"/>
  <c r="M178" i="17" s="1"/>
  <c r="N178" i="17"/>
  <c r="O178" i="17" s="1"/>
  <c r="P178" i="17" s="1"/>
  <c r="N179" i="17"/>
  <c r="O179" i="17" s="1"/>
  <c r="P179" i="17" s="1"/>
  <c r="L179" i="17"/>
  <c r="M179" i="17" s="1"/>
  <c r="K186" i="17"/>
  <c r="E192" i="17"/>
  <c r="K192" i="17" s="1"/>
  <c r="E189" i="17"/>
  <c r="K189" i="17" s="1"/>
  <c r="L176" i="17"/>
  <c r="M176" i="17" s="1"/>
  <c r="N176" i="17"/>
  <c r="O176" i="17" s="1"/>
  <c r="P176" i="17" s="1"/>
  <c r="N175" i="17"/>
  <c r="O175" i="17" s="1"/>
  <c r="P175" i="17" s="1"/>
  <c r="L175" i="17"/>
  <c r="M175" i="17" s="1"/>
  <c r="N171" i="17"/>
  <c r="O171" i="17" s="1"/>
  <c r="P171" i="17" s="1"/>
  <c r="L171" i="17"/>
  <c r="M171" i="17" s="1"/>
  <c r="L174" i="17"/>
  <c r="M174" i="17" s="1"/>
  <c r="N174" i="17"/>
  <c r="O174" i="17" s="1"/>
  <c r="P174" i="17" s="1"/>
  <c r="E190" i="17"/>
  <c r="K190" i="17" s="1"/>
  <c r="K184" i="17"/>
  <c r="E187" i="17"/>
  <c r="K187" i="17" s="1"/>
  <c r="N172" i="17"/>
  <c r="O172" i="17" s="1"/>
  <c r="P172" i="17" s="1"/>
  <c r="L172" i="17"/>
  <c r="M172" i="17" s="1"/>
  <c r="L177" i="17"/>
  <c r="M177" i="17" s="1"/>
  <c r="N177" i="17"/>
  <c r="O177" i="17" s="1"/>
  <c r="P177" i="17" s="1"/>
  <c r="N275" i="17"/>
  <c r="N467" i="17"/>
  <c r="L379" i="17"/>
  <c r="M379" i="17" s="1"/>
  <c r="L601" i="17"/>
  <c r="M601" i="17" s="1"/>
  <c r="L265" i="17"/>
  <c r="M265" i="17" s="1"/>
  <c r="N387" i="17"/>
  <c r="N700" i="17"/>
  <c r="L323" i="17"/>
  <c r="M323" i="17" s="1"/>
  <c r="L296" i="17"/>
  <c r="M296" i="17" s="1"/>
  <c r="L278" i="17"/>
  <c r="M278" i="17" s="1"/>
  <c r="L529" i="17"/>
  <c r="M529" i="17" s="1"/>
  <c r="L279" i="17"/>
  <c r="M279" i="17" s="1"/>
  <c r="N23" i="17"/>
  <c r="N266" i="17"/>
  <c r="N707" i="17"/>
  <c r="L576" i="17"/>
  <c r="M576" i="17" s="1"/>
  <c r="N441" i="17"/>
  <c r="L564" i="17"/>
  <c r="M564" i="17" s="1"/>
  <c r="N377" i="17"/>
  <c r="L592" i="17"/>
  <c r="M592" i="17" s="1"/>
  <c r="N395" i="17"/>
  <c r="N718" i="17"/>
  <c r="L350" i="17"/>
  <c r="M350" i="17" s="1"/>
  <c r="K21" i="17"/>
  <c r="N21" i="17" s="1"/>
  <c r="L709" i="17"/>
  <c r="M709" i="17" s="1"/>
  <c r="N468" i="17"/>
  <c r="L18" i="17"/>
  <c r="M18" i="17" s="1"/>
  <c r="L269" i="17"/>
  <c r="M269" i="17" s="1"/>
  <c r="L569" i="17"/>
  <c r="M569" i="17" s="1"/>
  <c r="N599" i="17"/>
  <c r="L608" i="17"/>
  <c r="M608" i="17" s="1"/>
  <c r="N583" i="17"/>
  <c r="N664" i="17"/>
  <c r="N22" i="17"/>
  <c r="N682" i="17"/>
  <c r="L617" i="17"/>
  <c r="M617" i="17" s="1"/>
  <c r="L345" i="17"/>
  <c r="M345" i="17" s="1"/>
  <c r="N38" i="17"/>
  <c r="O38" i="17" s="1"/>
  <c r="P38" i="17" s="1"/>
  <c r="L38" i="17"/>
  <c r="M38" i="17" s="1"/>
  <c r="L39" i="17"/>
  <c r="M39" i="17" s="1"/>
  <c r="N39" i="17"/>
  <c r="O39" i="17" s="1"/>
  <c r="P39" i="17" s="1"/>
  <c r="O34" i="17"/>
  <c r="P34" i="17" s="1"/>
  <c r="L37" i="17"/>
  <c r="M37" i="17" s="1"/>
  <c r="N37" i="17"/>
  <c r="O37" i="17" s="1"/>
  <c r="P37" i="17" s="1"/>
  <c r="L264" i="17"/>
  <c r="M264" i="17" s="1"/>
  <c r="L374" i="17"/>
  <c r="M374" i="17" s="1"/>
  <c r="L716" i="17"/>
  <c r="M716" i="17" s="1"/>
  <c r="N405" i="17"/>
  <c r="L432" i="17"/>
  <c r="M432" i="17" s="1"/>
  <c r="L252" i="17"/>
  <c r="M252" i="17" s="1"/>
  <c r="L361" i="17"/>
  <c r="M361" i="17" s="1"/>
  <c r="N284" i="17"/>
  <c r="N518" i="17"/>
  <c r="N546" i="17"/>
  <c r="L545" i="17"/>
  <c r="M545" i="17" s="1"/>
  <c r="N413" i="17"/>
  <c r="L368" i="17"/>
  <c r="M368" i="17" s="1"/>
  <c r="N378" i="17"/>
  <c r="L257" i="17"/>
  <c r="M257" i="17" s="1"/>
  <c r="N662" i="17"/>
  <c r="L698" i="17"/>
  <c r="M698" i="17" s="1"/>
  <c r="N255" i="17"/>
  <c r="L632" i="17"/>
  <c r="M632" i="17" s="1"/>
  <c r="L25" i="17"/>
  <c r="M25" i="17" s="1"/>
  <c r="N25" i="17"/>
  <c r="O25" i="17" s="1"/>
  <c r="P25" i="17" s="1"/>
  <c r="N28" i="17"/>
  <c r="O28" i="17" s="1"/>
  <c r="P28" i="17" s="1"/>
  <c r="L28" i="17"/>
  <c r="M28" i="17" s="1"/>
  <c r="L306" i="17"/>
  <c r="M306" i="17" s="1"/>
  <c r="N325" i="17"/>
  <c r="L367" i="17"/>
  <c r="M367" i="17" s="1"/>
  <c r="N431" i="17"/>
  <c r="L527" i="17"/>
  <c r="M527" i="17" s="1"/>
  <c r="N520" i="17"/>
  <c r="L246" i="17"/>
  <c r="M246" i="17" s="1"/>
  <c r="L556" i="17"/>
  <c r="M556" i="17" s="1"/>
  <c r="N424" i="17"/>
  <c r="L590" i="17"/>
  <c r="M590" i="17" s="1"/>
  <c r="L305" i="17"/>
  <c r="M305" i="17" s="1"/>
  <c r="L423" i="17"/>
  <c r="M423" i="17" s="1"/>
  <c r="L563" i="17"/>
  <c r="M563" i="17" s="1"/>
  <c r="N591" i="17"/>
  <c r="N637" i="17"/>
  <c r="L653" i="17"/>
  <c r="M653" i="17" s="1"/>
  <c r="N558" i="17"/>
  <c r="N585" i="17"/>
  <c r="L458" i="17"/>
  <c r="M458" i="17" s="1"/>
  <c r="L316" i="17"/>
  <c r="M316" i="17" s="1"/>
  <c r="L578" i="17"/>
  <c r="M578" i="17" s="1"/>
  <c r="L559" i="17"/>
  <c r="M559" i="17" s="1"/>
  <c r="N247" i="17"/>
  <c r="L351" i="17"/>
  <c r="M351" i="17" s="1"/>
  <c r="L459" i="17"/>
  <c r="M459" i="17" s="1"/>
  <c r="L671" i="17"/>
  <c r="M671" i="17" s="1"/>
  <c r="N582" i="17"/>
  <c r="L440" i="17"/>
  <c r="M440" i="17" s="1"/>
  <c r="L673" i="17"/>
  <c r="M673" i="17" s="1"/>
  <c r="L528" i="17"/>
  <c r="M528" i="17" s="1"/>
  <c r="N314" i="17"/>
  <c r="L450" i="17"/>
  <c r="M450" i="17" s="1"/>
  <c r="L451" i="17"/>
  <c r="M451" i="17" s="1"/>
  <c r="N333" i="17"/>
  <c r="O333" i="17" s="1"/>
  <c r="P333" i="17" s="1"/>
  <c r="L635" i="17"/>
  <c r="M635" i="17" s="1"/>
  <c r="L610" i="17"/>
  <c r="M610" i="17" s="1"/>
  <c r="N359" i="17"/>
  <c r="L644" i="17"/>
  <c r="M644" i="17" s="1"/>
  <c r="L336" i="17"/>
  <c r="M336" i="17" s="1"/>
  <c r="L338" i="17"/>
  <c r="M338" i="17" s="1"/>
  <c r="N646" i="17"/>
  <c r="N343" i="17"/>
  <c r="O343" i="17" s="1"/>
  <c r="P343" i="17" s="1"/>
  <c r="N469" i="17"/>
  <c r="L547" i="17"/>
  <c r="M547" i="17" s="1"/>
  <c r="L619" i="17"/>
  <c r="M619" i="17" s="1"/>
  <c r="L422" i="17"/>
  <c r="M422" i="17" s="1"/>
  <c r="L291" i="17"/>
  <c r="M291" i="17" s="1"/>
  <c r="L292" i="17"/>
  <c r="M292" i="17" s="1"/>
  <c r="L519" i="17"/>
  <c r="M519" i="17" s="1"/>
  <c r="N626" i="17"/>
  <c r="L680" i="17"/>
  <c r="M680" i="17" s="1"/>
  <c r="N691" i="17"/>
  <c r="L244" i="17"/>
  <c r="M244" i="17" s="1"/>
  <c r="L460" i="17"/>
  <c r="M460" i="17" s="1"/>
  <c r="L307" i="17"/>
  <c r="M307" i="17" s="1"/>
  <c r="N307" i="17"/>
  <c r="L513" i="17"/>
  <c r="M513" i="17" s="1"/>
  <c r="N513" i="17"/>
  <c r="L311" i="17"/>
  <c r="M311" i="17" s="1"/>
  <c r="N311" i="17"/>
  <c r="N515" i="17"/>
  <c r="L515" i="17"/>
  <c r="M515" i="17" s="1"/>
  <c r="L414" i="17"/>
  <c r="M414" i="17" s="1"/>
  <c r="N298" i="17"/>
  <c r="L298" i="17"/>
  <c r="M298" i="17" s="1"/>
  <c r="L302" i="17"/>
  <c r="M302" i="17" s="1"/>
  <c r="N302" i="17"/>
  <c r="L293" i="17"/>
  <c r="M293" i="17" s="1"/>
  <c r="N293" i="17"/>
  <c r="L289" i="17"/>
  <c r="M289" i="17" s="1"/>
  <c r="N289" i="17"/>
  <c r="O289" i="17" s="1"/>
  <c r="P289" i="17" s="1"/>
  <c r="N346" i="17"/>
  <c r="L346" i="17"/>
  <c r="M346" i="17" s="1"/>
  <c r="N511" i="17"/>
  <c r="L511" i="17"/>
  <c r="M511" i="17" s="1"/>
  <c r="L324" i="17"/>
  <c r="M324" i="17" s="1"/>
  <c r="N342" i="17"/>
  <c r="O342" i="17" s="1"/>
  <c r="P342" i="17" s="1"/>
  <c r="L342" i="17"/>
  <c r="M342" i="17" s="1"/>
  <c r="L509" i="17"/>
  <c r="M509" i="17" s="1"/>
  <c r="N509" i="17"/>
  <c r="N167" i="17"/>
  <c r="L167" i="17"/>
  <c r="M167" i="17" s="1"/>
  <c r="K161" i="17"/>
  <c r="N640" i="17"/>
  <c r="L640" i="17"/>
  <c r="M640" i="17" s="1"/>
  <c r="E164" i="17"/>
  <c r="K164" i="17" s="1"/>
  <c r="N158" i="17"/>
  <c r="L158" i="17"/>
  <c r="M158" i="17" s="1"/>
  <c r="N154" i="17"/>
  <c r="L154" i="17"/>
  <c r="M154" i="17" s="1"/>
  <c r="N159" i="17"/>
  <c r="L159" i="17"/>
  <c r="M159" i="17" s="1"/>
  <c r="N650" i="17"/>
  <c r="L650" i="17"/>
  <c r="M650" i="17" s="1"/>
  <c r="N684" i="17"/>
  <c r="L684" i="17"/>
  <c r="M684" i="17" s="1"/>
  <c r="N151" i="17"/>
  <c r="L151" i="17"/>
  <c r="M151" i="17" s="1"/>
  <c r="L148" i="17"/>
  <c r="M148" i="17" s="1"/>
  <c r="N148" i="17"/>
  <c r="N600" i="17"/>
  <c r="L600" i="17"/>
  <c r="M600" i="17" s="1"/>
  <c r="L193" i="17"/>
  <c r="M193" i="17" s="1"/>
  <c r="L364" i="17"/>
  <c r="M364" i="17" s="1"/>
  <c r="N364" i="17"/>
  <c r="N372" i="17"/>
  <c r="L372" i="17"/>
  <c r="M372" i="17" s="1"/>
  <c r="L63" i="17"/>
  <c r="M63" i="17" s="1"/>
  <c r="N63" i="17"/>
  <c r="N383" i="17"/>
  <c r="L383" i="17"/>
  <c r="M383" i="17" s="1"/>
  <c r="N113" i="17"/>
  <c r="L113" i="17"/>
  <c r="M113" i="17" s="1"/>
  <c r="L236" i="17"/>
  <c r="M236" i="17" s="1"/>
  <c r="N236" i="17"/>
  <c r="L388" i="17"/>
  <c r="M388" i="17" s="1"/>
  <c r="N388" i="17"/>
  <c r="L492" i="17"/>
  <c r="N232" i="17"/>
  <c r="L232" i="17"/>
  <c r="M232" i="17" s="1"/>
  <c r="N397" i="17"/>
  <c r="L397" i="17"/>
  <c r="M397" i="17" s="1"/>
  <c r="N114" i="17"/>
  <c r="L114" i="17"/>
  <c r="M114" i="17" s="1"/>
  <c r="K693" i="17"/>
  <c r="G702" i="17"/>
  <c r="K659" i="17"/>
  <c r="I668" i="17"/>
  <c r="K649" i="17"/>
  <c r="G658" i="17"/>
  <c r="K609" i="17"/>
  <c r="I618" i="17"/>
  <c r="K392" i="17"/>
  <c r="H401" i="17"/>
  <c r="K381" i="17"/>
  <c r="H390" i="17"/>
  <c r="K373" i="17"/>
  <c r="J382" i="17"/>
  <c r="K194" i="17"/>
  <c r="L194" i="17" s="1"/>
  <c r="M194" i="17" s="1"/>
  <c r="E195" i="17"/>
  <c r="E150" i="17" s="1"/>
  <c r="E162" i="17"/>
  <c r="K162" i="17" s="1"/>
  <c r="E152" i="17"/>
  <c r="E155" i="17"/>
  <c r="F165" i="17"/>
  <c r="F168" i="17"/>
  <c r="K149" i="17"/>
  <c r="F152" i="17"/>
  <c r="F155" i="17"/>
  <c r="F150" i="17"/>
  <c r="F163" i="17" s="1"/>
  <c r="N627" i="48" l="1"/>
  <c r="L627" i="48"/>
  <c r="M627" i="48" s="1"/>
  <c r="N622" i="48"/>
  <c r="L622" i="48"/>
  <c r="M622" i="48" s="1"/>
  <c r="L635" i="48"/>
  <c r="M635" i="48" s="1"/>
  <c r="N635" i="48"/>
  <c r="G645" i="48"/>
  <c r="K636" i="48"/>
  <c r="G640" i="48"/>
  <c r="K631" i="48"/>
  <c r="O477" i="48"/>
  <c r="P477" i="48" s="1"/>
  <c r="G653" i="48"/>
  <c r="K644" i="48"/>
  <c r="N356" i="48"/>
  <c r="L356" i="48"/>
  <c r="M356" i="48" s="1"/>
  <c r="O621" i="48"/>
  <c r="P621" i="48" s="1"/>
  <c r="G374" i="48"/>
  <c r="K365" i="48"/>
  <c r="O613" i="48"/>
  <c r="P613" i="48"/>
  <c r="L623" i="48"/>
  <c r="M623" i="48" s="1"/>
  <c r="N623" i="48"/>
  <c r="L619" i="48"/>
  <c r="M619" i="48" s="1"/>
  <c r="N619" i="48"/>
  <c r="O619" i="48" s="1"/>
  <c r="P619" i="48" s="1"/>
  <c r="G641" i="48"/>
  <c r="K632" i="48"/>
  <c r="G637" i="48"/>
  <c r="K628" i="48"/>
  <c r="N354" i="48"/>
  <c r="O354" i="48" s="1"/>
  <c r="P354" i="48" s="1"/>
  <c r="L354" i="48"/>
  <c r="M354" i="48" s="1"/>
  <c r="N630" i="48"/>
  <c r="L630" i="48"/>
  <c r="M630" i="48" s="1"/>
  <c r="O486" i="48"/>
  <c r="P486" i="48" s="1"/>
  <c r="G372" i="48"/>
  <c r="K363" i="48"/>
  <c r="G648" i="48"/>
  <c r="K639" i="48"/>
  <c r="L355" i="48"/>
  <c r="M355" i="48" s="1"/>
  <c r="N355" i="48"/>
  <c r="O355" i="48" s="1"/>
  <c r="P355" i="48" s="1"/>
  <c r="O469" i="48"/>
  <c r="P469" i="48" s="1"/>
  <c r="G373" i="48"/>
  <c r="K364" i="48"/>
  <c r="O476" i="48"/>
  <c r="P476" i="48" s="1"/>
  <c r="O467" i="48"/>
  <c r="P467" i="48" s="1"/>
  <c r="O610" i="48"/>
  <c r="P610" i="48" s="1"/>
  <c r="N187" i="17"/>
  <c r="L187" i="17"/>
  <c r="M187" i="17" s="1"/>
  <c r="N184" i="17"/>
  <c r="O184" i="17" s="1"/>
  <c r="P184" i="17" s="1"/>
  <c r="L184" i="17"/>
  <c r="M184" i="17" s="1"/>
  <c r="N190" i="17"/>
  <c r="O190" i="17" s="1"/>
  <c r="P190" i="17" s="1"/>
  <c r="L190" i="17"/>
  <c r="M190" i="17" s="1"/>
  <c r="N188" i="17"/>
  <c r="O188" i="17" s="1"/>
  <c r="P188" i="17" s="1"/>
  <c r="L188" i="17"/>
  <c r="M188" i="17" s="1"/>
  <c r="N189" i="17"/>
  <c r="O189" i="17" s="1"/>
  <c r="P189" i="17" s="1"/>
  <c r="L189" i="17"/>
  <c r="M189" i="17" s="1"/>
  <c r="N185" i="17"/>
  <c r="O185" i="17" s="1"/>
  <c r="P185" i="17" s="1"/>
  <c r="L185" i="17"/>
  <c r="M185" i="17" s="1"/>
  <c r="N192" i="17"/>
  <c r="O192" i="17" s="1"/>
  <c r="P192" i="17" s="1"/>
  <c r="L192" i="17"/>
  <c r="M192" i="17" s="1"/>
  <c r="N191" i="17"/>
  <c r="O191" i="17" s="1"/>
  <c r="P191" i="17" s="1"/>
  <c r="L191" i="17"/>
  <c r="M191" i="17" s="1"/>
  <c r="N186" i="17"/>
  <c r="O186" i="17" s="1"/>
  <c r="P186" i="17" s="1"/>
  <c r="L186" i="17"/>
  <c r="M186" i="17" s="1"/>
  <c r="L21" i="17"/>
  <c r="M21" i="17" s="1"/>
  <c r="N693" i="17"/>
  <c r="L693" i="17"/>
  <c r="M693" i="17" s="1"/>
  <c r="N164" i="17"/>
  <c r="L164" i="17"/>
  <c r="M164" i="17" s="1"/>
  <c r="N659" i="17"/>
  <c r="L659" i="17"/>
  <c r="M659" i="17" s="1"/>
  <c r="N149" i="17"/>
  <c r="L149" i="17"/>
  <c r="M149" i="17" s="1"/>
  <c r="N161" i="17"/>
  <c r="L161" i="17"/>
  <c r="M161" i="17" s="1"/>
  <c r="N609" i="17"/>
  <c r="L609" i="17"/>
  <c r="M609" i="17" s="1"/>
  <c r="L162" i="17"/>
  <c r="M162" i="17" s="1"/>
  <c r="N162" i="17"/>
  <c r="N649" i="17"/>
  <c r="L649" i="17"/>
  <c r="M649" i="17" s="1"/>
  <c r="N381" i="17"/>
  <c r="L381" i="17"/>
  <c r="M381" i="17" s="1"/>
  <c r="N392" i="17"/>
  <c r="L392" i="17"/>
  <c r="M392" i="17" s="1"/>
  <c r="M492" i="17"/>
  <c r="N373" i="17"/>
  <c r="L373" i="17"/>
  <c r="M373" i="17" s="1"/>
  <c r="K702" i="17"/>
  <c r="G711" i="17"/>
  <c r="K668" i="17"/>
  <c r="I677" i="17"/>
  <c r="K658" i="17"/>
  <c r="G667" i="17"/>
  <c r="K618" i="17"/>
  <c r="I627" i="17"/>
  <c r="K401" i="17"/>
  <c r="H410" i="17"/>
  <c r="K390" i="17"/>
  <c r="H399" i="17"/>
  <c r="K382" i="17"/>
  <c r="J391" i="17"/>
  <c r="K152" i="17"/>
  <c r="K155" i="17"/>
  <c r="K195" i="17"/>
  <c r="L195" i="17" s="1"/>
  <c r="M195" i="17" s="1"/>
  <c r="E163" i="17"/>
  <c r="E153" i="17"/>
  <c r="E156" i="17"/>
  <c r="E168" i="17"/>
  <c r="K168" i="17" s="1"/>
  <c r="E165" i="17"/>
  <c r="K165" i="17" s="1"/>
  <c r="F166" i="17"/>
  <c r="F169" i="17"/>
  <c r="K150" i="17"/>
  <c r="F156" i="17"/>
  <c r="F153" i="17"/>
  <c r="N631" i="48" l="1"/>
  <c r="L631" i="48"/>
  <c r="M631" i="48" s="1"/>
  <c r="N365" i="48"/>
  <c r="L365" i="48"/>
  <c r="M365" i="48" s="1"/>
  <c r="N636" i="48"/>
  <c r="L636" i="48"/>
  <c r="M636" i="48" s="1"/>
  <c r="G649" i="48"/>
  <c r="K640" i="48"/>
  <c r="G646" i="48"/>
  <c r="K637" i="48"/>
  <c r="G654" i="48"/>
  <c r="K645" i="48"/>
  <c r="O635" i="48"/>
  <c r="P635" i="48" s="1"/>
  <c r="O630" i="48"/>
  <c r="P630" i="48" s="1"/>
  <c r="G383" i="48"/>
  <c r="K374" i="48"/>
  <c r="N363" i="48"/>
  <c r="O363" i="48" s="1"/>
  <c r="P363" i="48" s="1"/>
  <c r="L363" i="48"/>
  <c r="M363" i="48" s="1"/>
  <c r="K641" i="48"/>
  <c r="G650" i="48"/>
  <c r="L632" i="48"/>
  <c r="M632" i="48" s="1"/>
  <c r="N632" i="48"/>
  <c r="G381" i="48"/>
  <c r="K372" i="48"/>
  <c r="O356" i="48"/>
  <c r="P356" i="48" s="1"/>
  <c r="O622" i="48"/>
  <c r="P622" i="48" s="1"/>
  <c r="G657" i="48"/>
  <c r="K648" i="48"/>
  <c r="N364" i="48"/>
  <c r="O364" i="48" s="1"/>
  <c r="P364" i="48" s="1"/>
  <c r="L364" i="48"/>
  <c r="M364" i="48" s="1"/>
  <c r="N644" i="48"/>
  <c r="L644" i="48"/>
  <c r="M644" i="48" s="1"/>
  <c r="N628" i="48"/>
  <c r="L628" i="48"/>
  <c r="M628" i="48" s="1"/>
  <c r="N639" i="48"/>
  <c r="O639" i="48" s="1"/>
  <c r="P639" i="48" s="1"/>
  <c r="L639" i="48"/>
  <c r="M639" i="48" s="1"/>
  <c r="G382" i="48"/>
  <c r="K373" i="48"/>
  <c r="O623" i="48"/>
  <c r="P623" i="48" s="1"/>
  <c r="G662" i="48"/>
  <c r="K653" i="48"/>
  <c r="O627" i="48"/>
  <c r="P627" i="48" s="1"/>
  <c r="O187" i="17"/>
  <c r="P187" i="17" s="1"/>
  <c r="N618" i="17"/>
  <c r="L618" i="17"/>
  <c r="M618" i="17" s="1"/>
  <c r="N150" i="17"/>
  <c r="L150" i="17"/>
  <c r="M150" i="17" s="1"/>
  <c r="N668" i="17"/>
  <c r="L668" i="17"/>
  <c r="M668" i="17" s="1"/>
  <c r="N702" i="17"/>
  <c r="L702" i="17"/>
  <c r="M702" i="17" s="1"/>
  <c r="N168" i="17"/>
  <c r="L168" i="17"/>
  <c r="M168" i="17" s="1"/>
  <c r="N155" i="17"/>
  <c r="L155" i="17"/>
  <c r="M155" i="17" s="1"/>
  <c r="N658" i="17"/>
  <c r="L658" i="17"/>
  <c r="M658" i="17" s="1"/>
  <c r="L152" i="17"/>
  <c r="M152" i="17" s="1"/>
  <c r="N152" i="17"/>
  <c r="N165" i="17"/>
  <c r="L165" i="17"/>
  <c r="M165" i="17" s="1"/>
  <c r="L382" i="17"/>
  <c r="M382" i="17" s="1"/>
  <c r="N382" i="17"/>
  <c r="N401" i="17"/>
  <c r="L401" i="17"/>
  <c r="M401" i="17" s="1"/>
  <c r="N390" i="17"/>
  <c r="L390" i="17"/>
  <c r="M390" i="17" s="1"/>
  <c r="K711" i="17"/>
  <c r="G720" i="17"/>
  <c r="K677" i="17"/>
  <c r="I686" i="17"/>
  <c r="K667" i="17"/>
  <c r="G676" i="17"/>
  <c r="K627" i="17"/>
  <c r="I636" i="17"/>
  <c r="K410" i="17"/>
  <c r="H419" i="17"/>
  <c r="K399" i="17"/>
  <c r="H408" i="17"/>
  <c r="K391" i="17"/>
  <c r="J400" i="17"/>
  <c r="K156" i="17"/>
  <c r="K153" i="17"/>
  <c r="E169" i="17"/>
  <c r="K169" i="17" s="1"/>
  <c r="E166" i="17"/>
  <c r="K166" i="17" s="1"/>
  <c r="K163" i="17"/>
  <c r="G671" i="48" l="1"/>
  <c r="K662" i="48"/>
  <c r="N645" i="48"/>
  <c r="L645" i="48"/>
  <c r="M645" i="48" s="1"/>
  <c r="G655" i="48"/>
  <c r="K646" i="48"/>
  <c r="O632" i="48"/>
  <c r="P632" i="48"/>
  <c r="G392" i="48"/>
  <c r="K383" i="48"/>
  <c r="O636" i="48"/>
  <c r="P636" i="48" s="1"/>
  <c r="N653" i="48"/>
  <c r="L653" i="48"/>
  <c r="M653" i="48" s="1"/>
  <c r="N637" i="48"/>
  <c r="L637" i="48"/>
  <c r="M637" i="48" s="1"/>
  <c r="N648" i="48"/>
  <c r="O648" i="48" s="1"/>
  <c r="P648" i="48" s="1"/>
  <c r="L648" i="48"/>
  <c r="M648" i="48" s="1"/>
  <c r="K649" i="48"/>
  <c r="G658" i="48"/>
  <c r="N641" i="48"/>
  <c r="O641" i="48" s="1"/>
  <c r="P641" i="48" s="1"/>
  <c r="L641" i="48"/>
  <c r="M641" i="48" s="1"/>
  <c r="G666" i="48"/>
  <c r="K657" i="48"/>
  <c r="N374" i="48"/>
  <c r="O374" i="48" s="1"/>
  <c r="P374" i="48" s="1"/>
  <c r="L374" i="48"/>
  <c r="M374" i="48" s="1"/>
  <c r="O365" i="48"/>
  <c r="P365" i="48" s="1"/>
  <c r="G663" i="48"/>
  <c r="K654" i="48"/>
  <c r="N373" i="48"/>
  <c r="O373" i="48" s="1"/>
  <c r="P373" i="48" s="1"/>
  <c r="L373" i="48"/>
  <c r="M373" i="48" s="1"/>
  <c r="O628" i="48"/>
  <c r="P628" i="48"/>
  <c r="L372" i="48"/>
  <c r="M372" i="48" s="1"/>
  <c r="N372" i="48"/>
  <c r="O644" i="48"/>
  <c r="P644" i="48" s="1"/>
  <c r="K650" i="48"/>
  <c r="G659" i="48"/>
  <c r="N640" i="48"/>
  <c r="L640" i="48"/>
  <c r="M640" i="48" s="1"/>
  <c r="G391" i="48"/>
  <c r="K382" i="48"/>
  <c r="G390" i="48"/>
  <c r="K381" i="48"/>
  <c r="O631" i="48"/>
  <c r="P631" i="48" s="1"/>
  <c r="N153" i="17"/>
  <c r="L153" i="17"/>
  <c r="M153" i="17" s="1"/>
  <c r="N667" i="17"/>
  <c r="L667" i="17"/>
  <c r="M667" i="17" s="1"/>
  <c r="N169" i="17"/>
  <c r="L169" i="17"/>
  <c r="M169" i="17" s="1"/>
  <c r="N627" i="17"/>
  <c r="L627" i="17"/>
  <c r="M627" i="17" s="1"/>
  <c r="N677" i="17"/>
  <c r="L677" i="17"/>
  <c r="M677" i="17" s="1"/>
  <c r="K720" i="17"/>
  <c r="G729" i="17"/>
  <c r="K729" i="17" s="1"/>
  <c r="N156" i="17"/>
  <c r="L156" i="17"/>
  <c r="M156" i="17" s="1"/>
  <c r="N166" i="17"/>
  <c r="L166" i="17"/>
  <c r="M166" i="17" s="1"/>
  <c r="L711" i="17"/>
  <c r="M711" i="17" s="1"/>
  <c r="N711" i="17"/>
  <c r="N163" i="17"/>
  <c r="L163" i="17"/>
  <c r="M163" i="17" s="1"/>
  <c r="N399" i="17"/>
  <c r="L399" i="17"/>
  <c r="M399" i="17" s="1"/>
  <c r="N410" i="17"/>
  <c r="L410" i="17"/>
  <c r="M410" i="17" s="1"/>
  <c r="N391" i="17"/>
  <c r="L391" i="17"/>
  <c r="M391" i="17" s="1"/>
  <c r="K686" i="17"/>
  <c r="I695" i="17"/>
  <c r="K676" i="17"/>
  <c r="G685" i="17"/>
  <c r="K636" i="17"/>
  <c r="I645" i="17"/>
  <c r="K419" i="17"/>
  <c r="H428" i="17"/>
  <c r="K408" i="17"/>
  <c r="H417" i="17"/>
  <c r="K400" i="17"/>
  <c r="J409" i="17"/>
  <c r="L382" i="48" l="1"/>
  <c r="M382" i="48" s="1"/>
  <c r="N382" i="48"/>
  <c r="O382" i="48" s="1"/>
  <c r="P382" i="48" s="1"/>
  <c r="N649" i="48"/>
  <c r="O649" i="48" s="1"/>
  <c r="P649" i="48" s="1"/>
  <c r="L649" i="48"/>
  <c r="M649" i="48" s="1"/>
  <c r="G667" i="48"/>
  <c r="K658" i="48"/>
  <c r="G668" i="48"/>
  <c r="K659" i="48"/>
  <c r="N646" i="48"/>
  <c r="L646" i="48"/>
  <c r="M646" i="48"/>
  <c r="G401" i="48"/>
  <c r="K392" i="48"/>
  <c r="N650" i="48"/>
  <c r="L650" i="48"/>
  <c r="M650" i="48"/>
  <c r="O637" i="48"/>
  <c r="P637" i="48"/>
  <c r="G400" i="48"/>
  <c r="K391" i="48"/>
  <c r="N654" i="48"/>
  <c r="L654" i="48"/>
  <c r="M654" i="48" s="1"/>
  <c r="O640" i="48"/>
  <c r="P640" i="48"/>
  <c r="N657" i="48"/>
  <c r="L657" i="48"/>
  <c r="M657" i="48" s="1"/>
  <c r="O645" i="48"/>
  <c r="P645" i="48" s="1"/>
  <c r="N383" i="48"/>
  <c r="O383" i="48" s="1"/>
  <c r="P383" i="48" s="1"/>
  <c r="L383" i="48"/>
  <c r="M383" i="48" s="1"/>
  <c r="L381" i="48"/>
  <c r="M381" i="48" s="1"/>
  <c r="N381" i="48"/>
  <c r="O381" i="48" s="1"/>
  <c r="P381" i="48" s="1"/>
  <c r="K666" i="48"/>
  <c r="G675" i="48"/>
  <c r="O653" i="48"/>
  <c r="P653" i="48" s="1"/>
  <c r="N662" i="48"/>
  <c r="L662" i="48"/>
  <c r="M662" i="48" s="1"/>
  <c r="G672" i="48"/>
  <c r="K663" i="48"/>
  <c r="G664" i="48"/>
  <c r="K655" i="48"/>
  <c r="O372" i="48"/>
  <c r="P372" i="48" s="1"/>
  <c r="G399" i="48"/>
  <c r="K390" i="48"/>
  <c r="G680" i="48"/>
  <c r="K671" i="48"/>
  <c r="N636" i="17"/>
  <c r="L636" i="17"/>
  <c r="M636" i="17" s="1"/>
  <c r="N676" i="17"/>
  <c r="L676" i="17"/>
  <c r="M676" i="17" s="1"/>
  <c r="N720" i="17"/>
  <c r="L720" i="17"/>
  <c r="M720" i="17" s="1"/>
  <c r="L686" i="17"/>
  <c r="M686" i="17" s="1"/>
  <c r="N686" i="17"/>
  <c r="N729" i="17"/>
  <c r="L729" i="17"/>
  <c r="M729" i="17" s="1"/>
  <c r="L400" i="17"/>
  <c r="M400" i="17" s="1"/>
  <c r="N400" i="17"/>
  <c r="N408" i="17"/>
  <c r="L408" i="17"/>
  <c r="M408" i="17" s="1"/>
  <c r="N419" i="17"/>
  <c r="L419" i="17"/>
  <c r="M419" i="17" s="1"/>
  <c r="K695" i="17"/>
  <c r="I704" i="17"/>
  <c r="K685" i="17"/>
  <c r="G694" i="17"/>
  <c r="K645" i="17"/>
  <c r="I654" i="17"/>
  <c r="K428" i="17"/>
  <c r="H437" i="17"/>
  <c r="K417" i="17"/>
  <c r="H426" i="17"/>
  <c r="K409" i="17"/>
  <c r="J418" i="17"/>
  <c r="G410" i="48" l="1"/>
  <c r="K401" i="48"/>
  <c r="N655" i="48"/>
  <c r="L655" i="48"/>
  <c r="M655" i="48"/>
  <c r="G677" i="48"/>
  <c r="K668" i="48"/>
  <c r="N663" i="48"/>
  <c r="L663" i="48"/>
  <c r="M663" i="48" s="1"/>
  <c r="G676" i="48"/>
  <c r="K667" i="48"/>
  <c r="K680" i="48"/>
  <c r="G689" i="48"/>
  <c r="G684" i="48"/>
  <c r="K675" i="48"/>
  <c r="N666" i="48"/>
  <c r="L666" i="48"/>
  <c r="M666" i="48" s="1"/>
  <c r="G673" i="48"/>
  <c r="K664" i="48"/>
  <c r="N390" i="48"/>
  <c r="O390" i="48" s="1"/>
  <c r="P390" i="48" s="1"/>
  <c r="L390" i="48"/>
  <c r="M390" i="48" s="1"/>
  <c r="N659" i="48"/>
  <c r="L659" i="48"/>
  <c r="M659" i="48"/>
  <c r="G408" i="48"/>
  <c r="K399" i="48"/>
  <c r="O654" i="48"/>
  <c r="P654" i="48" s="1"/>
  <c r="N391" i="48"/>
  <c r="O391" i="48" s="1"/>
  <c r="P391" i="48" s="1"/>
  <c r="L391" i="48"/>
  <c r="M391" i="48" s="1"/>
  <c r="G409" i="48"/>
  <c r="K400" i="48"/>
  <c r="L658" i="48"/>
  <c r="M658" i="48" s="1"/>
  <c r="N658" i="48"/>
  <c r="G681" i="48"/>
  <c r="K672" i="48"/>
  <c r="O662" i="48"/>
  <c r="P662" i="48" s="1"/>
  <c r="O650" i="48"/>
  <c r="P650" i="48"/>
  <c r="O646" i="48"/>
  <c r="P646" i="48" s="1"/>
  <c r="N671" i="48"/>
  <c r="L671" i="48"/>
  <c r="M671" i="48" s="1"/>
  <c r="O657" i="48"/>
  <c r="P657" i="48"/>
  <c r="N392" i="48"/>
  <c r="O392" i="48" s="1"/>
  <c r="P392" i="48" s="1"/>
  <c r="L392" i="48"/>
  <c r="M392" i="48" s="1"/>
  <c r="L685" i="17"/>
  <c r="M685" i="17" s="1"/>
  <c r="N685" i="17"/>
  <c r="N645" i="17"/>
  <c r="L645" i="17"/>
  <c r="M645" i="17" s="1"/>
  <c r="N695" i="17"/>
  <c r="L695" i="17"/>
  <c r="M695" i="17" s="1"/>
  <c r="N409" i="17"/>
  <c r="L409" i="17"/>
  <c r="M409" i="17" s="1"/>
  <c r="N417" i="17"/>
  <c r="L417" i="17"/>
  <c r="M417" i="17" s="1"/>
  <c r="N428" i="17"/>
  <c r="L428" i="17"/>
  <c r="M428" i="17" s="1"/>
  <c r="K704" i="17"/>
  <c r="I713" i="17"/>
  <c r="K694" i="17"/>
  <c r="G703" i="17"/>
  <c r="K654" i="17"/>
  <c r="I663" i="17"/>
  <c r="K437" i="17"/>
  <c r="H446" i="17"/>
  <c r="K426" i="17"/>
  <c r="H435" i="17"/>
  <c r="K418" i="17"/>
  <c r="J427" i="17"/>
  <c r="O659" i="48" l="1"/>
  <c r="P659" i="48" s="1"/>
  <c r="L680" i="48"/>
  <c r="M680" i="48" s="1"/>
  <c r="N680" i="48"/>
  <c r="O671" i="48"/>
  <c r="P671" i="48" s="1"/>
  <c r="N667" i="48"/>
  <c r="L667" i="48"/>
  <c r="M667" i="48" s="1"/>
  <c r="G686" i="48"/>
  <c r="K677" i="48"/>
  <c r="O666" i="48"/>
  <c r="P666" i="48" s="1"/>
  <c r="O663" i="48"/>
  <c r="P663" i="48" s="1"/>
  <c r="G418" i="48"/>
  <c r="K409" i="48"/>
  <c r="O655" i="48"/>
  <c r="P655" i="48" s="1"/>
  <c r="O658" i="48"/>
  <c r="P658" i="48" s="1"/>
  <c r="L668" i="48"/>
  <c r="M668" i="48" s="1"/>
  <c r="N668" i="48"/>
  <c r="K673" i="48"/>
  <c r="G682" i="48"/>
  <c r="N399" i="48"/>
  <c r="O399" i="48" s="1"/>
  <c r="P399" i="48" s="1"/>
  <c r="L399" i="48"/>
  <c r="M399" i="48" s="1"/>
  <c r="G693" i="48"/>
  <c r="K684" i="48"/>
  <c r="N401" i="48"/>
  <c r="O401" i="48" s="1"/>
  <c r="P401" i="48" s="1"/>
  <c r="L401" i="48"/>
  <c r="M401" i="48" s="1"/>
  <c r="N672" i="48"/>
  <c r="L672" i="48"/>
  <c r="M672" i="48" s="1"/>
  <c r="K681" i="48"/>
  <c r="G690" i="48"/>
  <c r="K676" i="48"/>
  <c r="G685" i="48"/>
  <c r="N400" i="48"/>
  <c r="O400" i="48" s="1"/>
  <c r="P400" i="48" s="1"/>
  <c r="L400" i="48"/>
  <c r="M400" i="48" s="1"/>
  <c r="L664" i="48"/>
  <c r="M664" i="48" s="1"/>
  <c r="N664" i="48"/>
  <c r="N675" i="48"/>
  <c r="O675" i="48" s="1"/>
  <c r="P675" i="48" s="1"/>
  <c r="L675" i="48"/>
  <c r="M675" i="48" s="1"/>
  <c r="G417" i="48"/>
  <c r="K408" i="48"/>
  <c r="G698" i="48"/>
  <c r="K689" i="48"/>
  <c r="G419" i="48"/>
  <c r="K410" i="48"/>
  <c r="N654" i="17"/>
  <c r="L654" i="17"/>
  <c r="M654" i="17" s="1"/>
  <c r="N694" i="17"/>
  <c r="L694" i="17"/>
  <c r="M694" i="17" s="1"/>
  <c r="N704" i="17"/>
  <c r="L704" i="17"/>
  <c r="M704" i="17" s="1"/>
  <c r="L418" i="17"/>
  <c r="M418" i="17" s="1"/>
  <c r="N418" i="17"/>
  <c r="N426" i="17"/>
  <c r="L426" i="17"/>
  <c r="M426" i="17" s="1"/>
  <c r="N437" i="17"/>
  <c r="L437" i="17"/>
  <c r="M437" i="17" s="1"/>
  <c r="K713" i="17"/>
  <c r="I722" i="17"/>
  <c r="K703" i="17"/>
  <c r="G712" i="17"/>
  <c r="K663" i="17"/>
  <c r="I672" i="17"/>
  <c r="K446" i="17"/>
  <c r="H455" i="17"/>
  <c r="K435" i="17"/>
  <c r="H444" i="17"/>
  <c r="K427" i="17"/>
  <c r="J436" i="17"/>
  <c r="F5" i="46"/>
  <c r="K690" i="48" l="1"/>
  <c r="G699" i="48"/>
  <c r="N408" i="48"/>
  <c r="O408" i="48" s="1"/>
  <c r="P408" i="48" s="1"/>
  <c r="L408" i="48"/>
  <c r="M408" i="48" s="1"/>
  <c r="G426" i="48"/>
  <c r="K417" i="48"/>
  <c r="L681" i="48"/>
  <c r="M681" i="48" s="1"/>
  <c r="N681" i="48"/>
  <c r="O672" i="48"/>
  <c r="P672" i="48" s="1"/>
  <c r="G695" i="48"/>
  <c r="K686" i="48"/>
  <c r="O667" i="48"/>
  <c r="P667" i="48" s="1"/>
  <c r="O680" i="48"/>
  <c r="P680" i="48" s="1"/>
  <c r="L673" i="48"/>
  <c r="M673" i="48" s="1"/>
  <c r="N673" i="48"/>
  <c r="N677" i="48"/>
  <c r="L677" i="48"/>
  <c r="M677" i="48" s="1"/>
  <c r="O664" i="48"/>
  <c r="P664" i="48"/>
  <c r="N410" i="48"/>
  <c r="O410" i="48" s="1"/>
  <c r="P410" i="48" s="1"/>
  <c r="L410" i="48"/>
  <c r="M410" i="48" s="1"/>
  <c r="G427" i="48"/>
  <c r="K418" i="48"/>
  <c r="O668" i="48"/>
  <c r="P668" i="48" s="1"/>
  <c r="N684" i="48"/>
  <c r="L684" i="48"/>
  <c r="M684" i="48" s="1"/>
  <c r="G702" i="48"/>
  <c r="K693" i="48"/>
  <c r="N409" i="48"/>
  <c r="O409" i="48" s="1"/>
  <c r="P409" i="48" s="1"/>
  <c r="L409" i="48"/>
  <c r="M409" i="48" s="1"/>
  <c r="G428" i="48"/>
  <c r="K419" i="48"/>
  <c r="K685" i="48"/>
  <c r="G694" i="48"/>
  <c r="G707" i="48"/>
  <c r="K698" i="48"/>
  <c r="N689" i="48"/>
  <c r="L689" i="48"/>
  <c r="M689" i="48" s="1"/>
  <c r="N676" i="48"/>
  <c r="L676" i="48"/>
  <c r="M676" i="48" s="1"/>
  <c r="K682" i="48"/>
  <c r="G691" i="48"/>
  <c r="N663" i="17"/>
  <c r="L663" i="17"/>
  <c r="M663" i="17" s="1"/>
  <c r="N713" i="17"/>
  <c r="L713" i="17"/>
  <c r="M713" i="17" s="1"/>
  <c r="N703" i="17"/>
  <c r="L703" i="17"/>
  <c r="M703" i="17" s="1"/>
  <c r="K722" i="17"/>
  <c r="I731" i="17"/>
  <c r="K731" i="17" s="1"/>
  <c r="N427" i="17"/>
  <c r="L427" i="17"/>
  <c r="M427" i="17" s="1"/>
  <c r="N435" i="17"/>
  <c r="L435" i="17"/>
  <c r="M435" i="17" s="1"/>
  <c r="N446" i="17"/>
  <c r="L446" i="17"/>
  <c r="M446" i="17" s="1"/>
  <c r="K712" i="17"/>
  <c r="G721" i="17"/>
  <c r="K672" i="17"/>
  <c r="I681" i="17"/>
  <c r="K455" i="17"/>
  <c r="H464" i="17"/>
  <c r="K444" i="17"/>
  <c r="H453" i="17"/>
  <c r="K436" i="17"/>
  <c r="J445" i="17"/>
  <c r="N682" i="48" l="1"/>
  <c r="L682" i="48"/>
  <c r="M682" i="48" s="1"/>
  <c r="G704" i="48"/>
  <c r="K695" i="48"/>
  <c r="O681" i="48"/>
  <c r="P681" i="48" s="1"/>
  <c r="G700" i="48"/>
  <c r="K691" i="48"/>
  <c r="O676" i="48"/>
  <c r="P676" i="48" s="1"/>
  <c r="O684" i="48"/>
  <c r="P684" i="48"/>
  <c r="L417" i="48"/>
  <c r="M417" i="48" s="1"/>
  <c r="N417" i="48"/>
  <c r="O417" i="48" s="1"/>
  <c r="P417" i="48" s="1"/>
  <c r="G703" i="48"/>
  <c r="K694" i="48"/>
  <c r="O677" i="48"/>
  <c r="P677" i="48" s="1"/>
  <c r="O689" i="48"/>
  <c r="P689" i="48" s="1"/>
  <c r="L685" i="48"/>
  <c r="M685" i="48"/>
  <c r="N685" i="48"/>
  <c r="G436" i="48"/>
  <c r="K427" i="48"/>
  <c r="G711" i="48"/>
  <c r="K702" i="48"/>
  <c r="L698" i="48"/>
  <c r="M698" i="48" s="1"/>
  <c r="N698" i="48"/>
  <c r="K707" i="48"/>
  <c r="G716" i="48"/>
  <c r="G435" i="48"/>
  <c r="K426" i="48"/>
  <c r="N418" i="48"/>
  <c r="O418" i="48" s="1"/>
  <c r="P418" i="48" s="1"/>
  <c r="L418" i="48"/>
  <c r="M418" i="48" s="1"/>
  <c r="L419" i="48"/>
  <c r="M419" i="48" s="1"/>
  <c r="N419" i="48"/>
  <c r="O419" i="48" s="1"/>
  <c r="P419" i="48" s="1"/>
  <c r="G708" i="48"/>
  <c r="K699" i="48"/>
  <c r="L693" i="48"/>
  <c r="M693" i="48" s="1"/>
  <c r="N693" i="48"/>
  <c r="O693" i="48" s="1"/>
  <c r="P693" i="48" s="1"/>
  <c r="O673" i="48"/>
  <c r="P673" i="48" s="1"/>
  <c r="G437" i="48"/>
  <c r="K428" i="48"/>
  <c r="N686" i="48"/>
  <c r="L686" i="48"/>
  <c r="M686" i="48" s="1"/>
  <c r="L690" i="48"/>
  <c r="M690" i="48" s="1"/>
  <c r="N690" i="48"/>
  <c r="O690" i="48" s="1"/>
  <c r="P690" i="48" s="1"/>
  <c r="N731" i="17"/>
  <c r="L731" i="17"/>
  <c r="M731" i="17" s="1"/>
  <c r="N712" i="17"/>
  <c r="L712" i="17"/>
  <c r="M712" i="17" s="1"/>
  <c r="N722" i="17"/>
  <c r="L722" i="17"/>
  <c r="M722" i="17" s="1"/>
  <c r="N672" i="17"/>
  <c r="L672" i="17"/>
  <c r="M672" i="17" s="1"/>
  <c r="K721" i="17"/>
  <c r="G730" i="17"/>
  <c r="K730" i="17" s="1"/>
  <c r="L436" i="17"/>
  <c r="M436" i="17" s="1"/>
  <c r="N436" i="17"/>
  <c r="N444" i="17"/>
  <c r="L444" i="17"/>
  <c r="M444" i="17" s="1"/>
  <c r="N455" i="17"/>
  <c r="L455" i="17"/>
  <c r="M455" i="17" s="1"/>
  <c r="K681" i="17"/>
  <c r="I690" i="17"/>
  <c r="K464" i="17"/>
  <c r="H473" i="17"/>
  <c r="K453" i="17"/>
  <c r="H462" i="17"/>
  <c r="K445" i="17"/>
  <c r="J454" i="17"/>
  <c r="N428" i="48" l="1"/>
  <c r="O428" i="48" s="1"/>
  <c r="P428" i="48" s="1"/>
  <c r="L428" i="48"/>
  <c r="M428" i="48" s="1"/>
  <c r="G444" i="48"/>
  <c r="K435" i="48"/>
  <c r="L426" i="48"/>
  <c r="M426" i="48" s="1"/>
  <c r="N426" i="48"/>
  <c r="O686" i="48"/>
  <c r="P686" i="48" s="1"/>
  <c r="G446" i="48"/>
  <c r="K437" i="48"/>
  <c r="G725" i="48"/>
  <c r="K725" i="48" s="1"/>
  <c r="K716" i="48"/>
  <c r="N707" i="48"/>
  <c r="L707" i="48"/>
  <c r="M707" i="48" s="1"/>
  <c r="G717" i="48"/>
  <c r="K708" i="48"/>
  <c r="G712" i="48"/>
  <c r="K703" i="48"/>
  <c r="N695" i="48"/>
  <c r="L695" i="48"/>
  <c r="M695" i="48" s="1"/>
  <c r="G709" i="48"/>
  <c r="K700" i="48"/>
  <c r="N699" i="48"/>
  <c r="L699" i="48"/>
  <c r="M699" i="48" s="1"/>
  <c r="G720" i="48"/>
  <c r="K711" i="48"/>
  <c r="G713" i="48"/>
  <c r="K704" i="48"/>
  <c r="N694" i="48"/>
  <c r="L694" i="48"/>
  <c r="M694" i="48" s="1"/>
  <c r="N427" i="48"/>
  <c r="O427" i="48" s="1"/>
  <c r="P427" i="48" s="1"/>
  <c r="L427" i="48"/>
  <c r="M427" i="48" s="1"/>
  <c r="O685" i="48"/>
  <c r="P685" i="48"/>
  <c r="N691" i="48"/>
  <c r="L691" i="48"/>
  <c r="M691" i="48" s="1"/>
  <c r="O698" i="48"/>
  <c r="P698" i="48" s="1"/>
  <c r="L702" i="48"/>
  <c r="M702" i="48" s="1"/>
  <c r="N702" i="48"/>
  <c r="G445" i="48"/>
  <c r="K436" i="48"/>
  <c r="O682" i="48"/>
  <c r="P682" i="48" s="1"/>
  <c r="N730" i="17"/>
  <c r="L730" i="17"/>
  <c r="M730" i="17" s="1"/>
  <c r="N721" i="17"/>
  <c r="L721" i="17"/>
  <c r="M721" i="17" s="1"/>
  <c r="N681" i="17"/>
  <c r="L681" i="17"/>
  <c r="M681" i="17" s="1"/>
  <c r="N464" i="17"/>
  <c r="L464" i="17"/>
  <c r="M464" i="17" s="1"/>
  <c r="N453" i="17"/>
  <c r="L453" i="17"/>
  <c r="M453" i="17" s="1"/>
  <c r="N445" i="17"/>
  <c r="L445" i="17"/>
  <c r="M445" i="17" s="1"/>
  <c r="K690" i="17"/>
  <c r="I699" i="17"/>
  <c r="K473" i="17"/>
  <c r="H482" i="17"/>
  <c r="K462" i="17"/>
  <c r="H471" i="17"/>
  <c r="K454" i="17"/>
  <c r="J463" i="17"/>
  <c r="O699" i="48" l="1"/>
  <c r="P699" i="48" s="1"/>
  <c r="N700" i="48"/>
  <c r="L700" i="48"/>
  <c r="M700" i="48" s="1"/>
  <c r="L437" i="48"/>
  <c r="M437" i="48" s="1"/>
  <c r="N437" i="48"/>
  <c r="O437" i="48" s="1"/>
  <c r="P437" i="48" s="1"/>
  <c r="L435" i="48"/>
  <c r="M435" i="48" s="1"/>
  <c r="N435" i="48"/>
  <c r="O435" i="48" s="1"/>
  <c r="P435" i="48" s="1"/>
  <c r="N716" i="48"/>
  <c r="L716" i="48"/>
  <c r="M716" i="48" s="1"/>
  <c r="O695" i="48"/>
  <c r="P695" i="48"/>
  <c r="N436" i="48"/>
  <c r="O436" i="48" s="1"/>
  <c r="P436" i="48" s="1"/>
  <c r="L436" i="48"/>
  <c r="M436" i="48" s="1"/>
  <c r="O426" i="48"/>
  <c r="P426" i="48" s="1"/>
  <c r="G454" i="48"/>
  <c r="K445" i="48"/>
  <c r="G721" i="48"/>
  <c r="K712" i="48"/>
  <c r="O702" i="48"/>
  <c r="P702" i="48"/>
  <c r="G722" i="48"/>
  <c r="K713" i="48"/>
  <c r="G726" i="48"/>
  <c r="K726" i="48" s="1"/>
  <c r="K717" i="48"/>
  <c r="G453" i="48"/>
  <c r="K444" i="48"/>
  <c r="O691" i="48"/>
  <c r="P691" i="48" s="1"/>
  <c r="G718" i="48"/>
  <c r="K709" i="48"/>
  <c r="N703" i="48"/>
  <c r="L703" i="48"/>
  <c r="M703" i="48" s="1"/>
  <c r="L708" i="48"/>
  <c r="M708" i="48" s="1"/>
  <c r="N708" i="48"/>
  <c r="L711" i="48"/>
  <c r="M711" i="48" s="1"/>
  <c r="N711" i="48"/>
  <c r="N725" i="48"/>
  <c r="L725" i="48"/>
  <c r="M725" i="48" s="1"/>
  <c r="G455" i="48"/>
  <c r="K446" i="48"/>
  <c r="O694" i="48"/>
  <c r="P694" i="48" s="1"/>
  <c r="N704" i="48"/>
  <c r="L704" i="48"/>
  <c r="M704" i="48" s="1"/>
  <c r="G729" i="48"/>
  <c r="K729" i="48" s="1"/>
  <c r="K720" i="48"/>
  <c r="O707" i="48"/>
  <c r="P707" i="48" s="1"/>
  <c r="N690" i="17"/>
  <c r="L690" i="17"/>
  <c r="M690" i="17" s="1"/>
  <c r="N462" i="17"/>
  <c r="L462" i="17"/>
  <c r="M462" i="17" s="1"/>
  <c r="N473" i="17"/>
  <c r="L473" i="17"/>
  <c r="M473" i="17" s="1"/>
  <c r="L454" i="17"/>
  <c r="M454" i="17" s="1"/>
  <c r="N454" i="17"/>
  <c r="K699" i="17"/>
  <c r="I708" i="17"/>
  <c r="K482" i="17"/>
  <c r="H491" i="17"/>
  <c r="K491" i="17" s="1"/>
  <c r="K471" i="17"/>
  <c r="H480" i="17"/>
  <c r="K463" i="17"/>
  <c r="J472" i="17"/>
  <c r="G731" i="48" l="1"/>
  <c r="K731" i="48" s="1"/>
  <c r="K722" i="48"/>
  <c r="L709" i="48"/>
  <c r="M709" i="48" s="1"/>
  <c r="N709" i="48"/>
  <c r="G730" i="48"/>
  <c r="K730" i="48" s="1"/>
  <c r="K721" i="48"/>
  <c r="O703" i="48"/>
  <c r="P703" i="48"/>
  <c r="O716" i="48"/>
  <c r="P716" i="48" s="1"/>
  <c r="N446" i="48"/>
  <c r="O446" i="48" s="1"/>
  <c r="P446" i="48" s="1"/>
  <c r="L446" i="48"/>
  <c r="M446" i="48" s="1"/>
  <c r="G464" i="48"/>
  <c r="K455" i="48"/>
  <c r="G463" i="48"/>
  <c r="K454" i="48"/>
  <c r="N717" i="48"/>
  <c r="L717" i="48"/>
  <c r="M717" i="48"/>
  <c r="O700" i="48"/>
  <c r="P700" i="48"/>
  <c r="O725" i="48"/>
  <c r="P725" i="48" s="1"/>
  <c r="N729" i="48"/>
  <c r="O729" i="48" s="1"/>
  <c r="P729" i="48" s="1"/>
  <c r="L729" i="48"/>
  <c r="M729" i="48" s="1"/>
  <c r="O708" i="48"/>
  <c r="P708" i="48" s="1"/>
  <c r="L726" i="48"/>
  <c r="M726" i="48" s="1"/>
  <c r="N726" i="48"/>
  <c r="O726" i="48" s="1"/>
  <c r="P726" i="48" s="1"/>
  <c r="O704" i="48"/>
  <c r="P704" i="48" s="1"/>
  <c r="L712" i="48"/>
  <c r="N712" i="48"/>
  <c r="M712" i="48"/>
  <c r="G727" i="48"/>
  <c r="K727" i="48" s="1"/>
  <c r="K718" i="48"/>
  <c r="N445" i="48"/>
  <c r="O445" i="48" s="1"/>
  <c r="P445" i="48" s="1"/>
  <c r="L445" i="48"/>
  <c r="M445" i="48" s="1"/>
  <c r="N444" i="48"/>
  <c r="O444" i="48" s="1"/>
  <c r="P444" i="48" s="1"/>
  <c r="L444" i="48"/>
  <c r="M444" i="48" s="1"/>
  <c r="O711" i="48"/>
  <c r="P711" i="48" s="1"/>
  <c r="G462" i="48"/>
  <c r="K453" i="48"/>
  <c r="L720" i="48"/>
  <c r="M720" i="48" s="1"/>
  <c r="N720" i="48"/>
  <c r="N713" i="48"/>
  <c r="L713" i="48"/>
  <c r="M713" i="48" s="1"/>
  <c r="N699" i="17"/>
  <c r="L699" i="17"/>
  <c r="M699" i="17" s="1"/>
  <c r="L482" i="17"/>
  <c r="M482" i="17" s="1"/>
  <c r="N482" i="17"/>
  <c r="N463" i="17"/>
  <c r="L463" i="17"/>
  <c r="M463" i="17" s="1"/>
  <c r="N471" i="17"/>
  <c r="L471" i="17"/>
  <c r="M471" i="17" s="1"/>
  <c r="N491" i="17"/>
  <c r="L491" i="17"/>
  <c r="M491" i="17" s="1"/>
  <c r="K708" i="17"/>
  <c r="I717" i="17"/>
  <c r="K480" i="17"/>
  <c r="H489" i="17"/>
  <c r="K489" i="17" s="1"/>
  <c r="K472" i="17"/>
  <c r="J481" i="17"/>
  <c r="O709" i="48" l="1"/>
  <c r="P709" i="48" s="1"/>
  <c r="O712" i="48"/>
  <c r="P712" i="48" s="1"/>
  <c r="L730" i="48"/>
  <c r="M730" i="48" s="1"/>
  <c r="N730" i="48"/>
  <c r="G472" i="48"/>
  <c r="K463" i="48"/>
  <c r="G471" i="48"/>
  <c r="K462" i="48"/>
  <c r="L721" i="48"/>
  <c r="M721" i="48" s="1"/>
  <c r="N721" i="48"/>
  <c r="O717" i="48"/>
  <c r="P717" i="48" s="1"/>
  <c r="N455" i="48"/>
  <c r="L455" i="48"/>
  <c r="M455" i="48" s="1"/>
  <c r="O713" i="48"/>
  <c r="P713" i="48" s="1"/>
  <c r="N718" i="48"/>
  <c r="L718" i="48"/>
  <c r="M718" i="48" s="1"/>
  <c r="G473" i="48"/>
  <c r="K464" i="48"/>
  <c r="N722" i="48"/>
  <c r="L722" i="48"/>
  <c r="M722" i="48" s="1"/>
  <c r="N453" i="48"/>
  <c r="L453" i="48"/>
  <c r="M453" i="48" s="1"/>
  <c r="L454" i="48"/>
  <c r="M454" i="48" s="1"/>
  <c r="N454" i="48"/>
  <c r="O454" i="48" s="1"/>
  <c r="P454" i="48" s="1"/>
  <c r="O720" i="48"/>
  <c r="P720" i="48" s="1"/>
  <c r="N727" i="48"/>
  <c r="L727" i="48"/>
  <c r="M727" i="48" s="1"/>
  <c r="N731" i="48"/>
  <c r="O731" i="48" s="1"/>
  <c r="P731" i="48" s="1"/>
  <c r="L731" i="48"/>
  <c r="M731" i="48" s="1"/>
  <c r="K717" i="17"/>
  <c r="N717" i="17" s="1"/>
  <c r="O717" i="17" s="1"/>
  <c r="P717" i="17" s="1"/>
  <c r="I726" i="17"/>
  <c r="K726" i="17" s="1"/>
  <c r="N708" i="17"/>
  <c r="O708" i="17" s="1"/>
  <c r="P708" i="17" s="1"/>
  <c r="L708" i="17"/>
  <c r="M708" i="17" s="1"/>
  <c r="L489" i="17"/>
  <c r="M489" i="17" s="1"/>
  <c r="N489" i="17"/>
  <c r="O489" i="17" s="1"/>
  <c r="P489" i="17" s="1"/>
  <c r="L472" i="17"/>
  <c r="M472" i="17" s="1"/>
  <c r="N472" i="17"/>
  <c r="O472" i="17" s="1"/>
  <c r="P472" i="17" s="1"/>
  <c r="N480" i="17"/>
  <c r="L480" i="17"/>
  <c r="M480" i="17" s="1"/>
  <c r="K481" i="17"/>
  <c r="J490" i="17"/>
  <c r="K490" i="17" s="1"/>
  <c r="O157" i="17"/>
  <c r="P157" i="17" s="1"/>
  <c r="O64" i="17"/>
  <c r="P64" i="17" s="1"/>
  <c r="O574" i="17"/>
  <c r="P574" i="17" s="1"/>
  <c r="O244" i="17"/>
  <c r="P244" i="17" s="1"/>
  <c r="O79" i="17"/>
  <c r="P79" i="17" s="1"/>
  <c r="O163" i="17"/>
  <c r="P163" i="17" s="1"/>
  <c r="O646" i="17"/>
  <c r="P646" i="17" s="1"/>
  <c r="O315" i="17"/>
  <c r="P315" i="17" s="1"/>
  <c r="O97" i="17"/>
  <c r="P97" i="17" s="1"/>
  <c r="O22" i="17"/>
  <c r="P22" i="17" s="1"/>
  <c r="O540" i="17"/>
  <c r="P540" i="17" s="1"/>
  <c r="O718" i="17"/>
  <c r="P718" i="17" s="1"/>
  <c r="O501" i="17"/>
  <c r="P501" i="17" s="1"/>
  <c r="O676" i="17"/>
  <c r="P676" i="17" s="1"/>
  <c r="O83" i="17"/>
  <c r="P83" i="17" s="1"/>
  <c r="O127" i="17"/>
  <c r="P127" i="17" s="1"/>
  <c r="O94" i="17"/>
  <c r="P94" i="17" s="1"/>
  <c r="O133" i="17"/>
  <c r="P133" i="17" s="1"/>
  <c r="O617" i="17"/>
  <c r="P617" i="17" s="1"/>
  <c r="O280" i="17"/>
  <c r="P280" i="17" s="1"/>
  <c r="O66" i="17"/>
  <c r="P66" i="17" s="1"/>
  <c r="O75" i="17"/>
  <c r="P75" i="17" s="1"/>
  <c r="O80" i="17"/>
  <c r="P80" i="17" s="1"/>
  <c r="O161" i="17"/>
  <c r="P161" i="17" s="1"/>
  <c r="O151" i="17"/>
  <c r="P151" i="17" s="1"/>
  <c r="O519" i="17"/>
  <c r="P519" i="17" s="1"/>
  <c r="O689" i="17"/>
  <c r="P689" i="17" s="1"/>
  <c r="O19" i="17"/>
  <c r="P19" i="17" s="1"/>
  <c r="O41" i="17"/>
  <c r="P41" i="17" s="1"/>
  <c r="O166" i="17"/>
  <c r="P166" i="17" s="1"/>
  <c r="O90" i="17"/>
  <c r="P90" i="17" s="1"/>
  <c r="O586" i="17"/>
  <c r="P586" i="17" s="1"/>
  <c r="O256" i="17"/>
  <c r="P256" i="17" s="1"/>
  <c r="O134" i="17"/>
  <c r="P134" i="17" s="1"/>
  <c r="L13" i="17"/>
  <c r="O210" i="17"/>
  <c r="P210" i="17" s="1"/>
  <c r="O215" i="17"/>
  <c r="P215" i="17" s="1"/>
  <c r="O16" i="17"/>
  <c r="P16" i="17" s="1"/>
  <c r="O96" i="17"/>
  <c r="P96" i="17" s="1"/>
  <c r="O169" i="17"/>
  <c r="P169" i="17" s="1"/>
  <c r="O56" i="17"/>
  <c r="P56" i="17" s="1"/>
  <c r="O42" i="17"/>
  <c r="P42" i="17" s="1"/>
  <c r="O44" i="17"/>
  <c r="P44" i="17" s="1"/>
  <c r="O81" i="17"/>
  <c r="P81" i="17" s="1"/>
  <c r="O131" i="17"/>
  <c r="P131" i="17" s="1"/>
  <c r="O138" i="17"/>
  <c r="P138" i="17" s="1"/>
  <c r="O223" i="17"/>
  <c r="P223" i="17" s="1"/>
  <c r="O155" i="17"/>
  <c r="P155" i="17" s="1"/>
  <c r="O54" i="17"/>
  <c r="P54" i="17" s="1"/>
  <c r="O117" i="17"/>
  <c r="P117" i="17" s="1"/>
  <c r="O154" i="17"/>
  <c r="P154" i="17" s="1"/>
  <c r="O213" i="17"/>
  <c r="P213" i="17" s="1"/>
  <c r="O563" i="17"/>
  <c r="P563" i="17" s="1"/>
  <c r="O604" i="17"/>
  <c r="P604" i="17" s="1"/>
  <c r="O635" i="17"/>
  <c r="P635" i="17" s="1"/>
  <c r="O658" i="17"/>
  <c r="P658" i="17" s="1"/>
  <c r="O707" i="17"/>
  <c r="P707" i="17" s="1"/>
  <c r="O226" i="17"/>
  <c r="P226" i="17" s="1"/>
  <c r="O269" i="17"/>
  <c r="P269" i="17" s="1"/>
  <c r="O297" i="17"/>
  <c r="P297" i="17" s="1"/>
  <c r="O208" i="17"/>
  <c r="P208" i="17" s="1"/>
  <c r="O148" i="17"/>
  <c r="P148" i="17" s="1"/>
  <c r="O113" i="17"/>
  <c r="P113" i="17" s="1"/>
  <c r="O354" i="17"/>
  <c r="P354" i="17" s="1"/>
  <c r="O524" i="17"/>
  <c r="P524" i="17" s="1"/>
  <c r="O694" i="17"/>
  <c r="P694" i="17" s="1"/>
  <c r="O162" i="17"/>
  <c r="P162" i="17" s="1"/>
  <c r="O87" i="17"/>
  <c r="P87" i="17" s="1"/>
  <c r="O251" i="17"/>
  <c r="P251" i="17" s="1"/>
  <c r="O78" i="17"/>
  <c r="P78" i="17" s="1"/>
  <c r="O599" i="17"/>
  <c r="P599" i="17" s="1"/>
  <c r="O13" i="17"/>
  <c r="P13" i="17" s="1"/>
  <c r="M13" i="17"/>
  <c r="O564" i="17"/>
  <c r="P564" i="17" s="1"/>
  <c r="O233" i="17"/>
  <c r="P233" i="17" s="1"/>
  <c r="O415" i="17"/>
  <c r="P415" i="17" s="1"/>
  <c r="O577" i="17"/>
  <c r="P577" i="17" s="1"/>
  <c r="O426" i="17"/>
  <c r="P426" i="17" s="1"/>
  <c r="O383" i="17"/>
  <c r="P383" i="17" s="1"/>
  <c r="O581" i="17"/>
  <c r="P581" i="17" s="1"/>
  <c r="O10" i="17"/>
  <c r="P10" i="17" s="1"/>
  <c r="O568" i="17"/>
  <c r="P568" i="17" s="1"/>
  <c r="O628" i="17"/>
  <c r="P628" i="17" s="1"/>
  <c r="O485" i="17"/>
  <c r="P485" i="17" s="1"/>
  <c r="O636" i="17"/>
  <c r="P636" i="17" s="1"/>
  <c r="O305" i="17"/>
  <c r="P305" i="17" s="1"/>
  <c r="O491" i="17"/>
  <c r="P491" i="17" s="1"/>
  <c r="O649" i="17"/>
  <c r="P649" i="17" s="1"/>
  <c r="O85" i="17"/>
  <c r="P85" i="17" s="1"/>
  <c r="O164" i="17"/>
  <c r="P164" i="17" s="1"/>
  <c r="O17" i="17"/>
  <c r="P17" i="17" s="1"/>
  <c r="O546" i="17"/>
  <c r="P546" i="17" s="1"/>
  <c r="O211" i="17"/>
  <c r="P211" i="17" s="1"/>
  <c r="O45" i="17"/>
  <c r="P45" i="17" s="1"/>
  <c r="O610" i="17"/>
  <c r="P610" i="17" s="1"/>
  <c r="O12" i="17"/>
  <c r="P12" i="17" s="1"/>
  <c r="O216" i="17"/>
  <c r="P216" i="17" s="1"/>
  <c r="O86" i="17"/>
  <c r="P86" i="17" s="1"/>
  <c r="O386" i="17"/>
  <c r="P386" i="17" s="1"/>
  <c r="O549" i="17"/>
  <c r="P549" i="17" s="1"/>
  <c r="O396" i="17"/>
  <c r="P396" i="17" s="1"/>
  <c r="M12" i="17"/>
  <c r="O232" i="17"/>
  <c r="P232" i="17" s="1"/>
  <c r="O414" i="17"/>
  <c r="P414" i="17" s="1"/>
  <c r="O137" i="17"/>
  <c r="P137" i="17" s="1"/>
  <c r="O126" i="17"/>
  <c r="P126" i="17" s="1"/>
  <c r="O128" i="17"/>
  <c r="P128" i="17" s="1"/>
  <c r="O309" i="17"/>
  <c r="P309" i="17" s="1"/>
  <c r="O209" i="17"/>
  <c r="P209" i="17" s="1"/>
  <c r="O450" i="17"/>
  <c r="P450" i="17" s="1"/>
  <c r="O605" i="17"/>
  <c r="P605" i="17" s="1"/>
  <c r="O270" i="17"/>
  <c r="P270" i="17" s="1"/>
  <c r="O458" i="17"/>
  <c r="P458" i="17" s="1"/>
  <c r="O626" i="17"/>
  <c r="P626" i="17" s="1"/>
  <c r="O61" i="17"/>
  <c r="P61" i="17" s="1"/>
  <c r="O214" i="17"/>
  <c r="P214" i="17" s="1"/>
  <c r="O20" i="17"/>
  <c r="P20" i="17" s="1"/>
  <c r="O63" i="17"/>
  <c r="P63" i="17" s="1"/>
  <c r="O225" i="17"/>
  <c r="P225" i="17" s="1"/>
  <c r="O291" i="17"/>
  <c r="P291" i="17" s="1"/>
  <c r="O150" i="17"/>
  <c r="P150" i="17" s="1"/>
  <c r="O158" i="17"/>
  <c r="P158" i="17" s="1"/>
  <c r="O274" i="17"/>
  <c r="P274" i="17" s="1"/>
  <c r="O130" i="17"/>
  <c r="P130" i="17" s="1"/>
  <c r="O114" i="17"/>
  <c r="P114" i="17" s="1"/>
  <c r="O9" i="17"/>
  <c r="P9" i="17" s="1"/>
  <c r="O156" i="17"/>
  <c r="P156" i="17" s="1"/>
  <c r="O347" i="17"/>
  <c r="P347" i="17" s="1"/>
  <c r="O509" i="17"/>
  <c r="P509" i="17" s="1"/>
  <c r="O677" i="17"/>
  <c r="P677" i="17" s="1"/>
  <c r="O355" i="17"/>
  <c r="P355" i="17" s="1"/>
  <c r="O528" i="17"/>
  <c r="P528" i="17" s="1"/>
  <c r="O698" i="17"/>
  <c r="P698" i="17" s="1"/>
  <c r="O365" i="17"/>
  <c r="P365" i="17" s="1"/>
  <c r="O592" i="17"/>
  <c r="P592" i="17" s="1"/>
  <c r="O262" i="17"/>
  <c r="P262" i="17" s="1"/>
  <c r="O136" i="17"/>
  <c r="P136" i="17" s="1"/>
  <c r="O116" i="17"/>
  <c r="P116" i="17" s="1"/>
  <c r="O320" i="17"/>
  <c r="P320" i="17" s="1"/>
  <c r="O153" i="17"/>
  <c r="P153" i="17" s="1"/>
  <c r="O671" i="17"/>
  <c r="P671" i="17" s="1"/>
  <c r="O11" i="17"/>
  <c r="P11" i="17" s="1"/>
  <c r="O74" i="17"/>
  <c r="P74" i="17" s="1"/>
  <c r="O576" i="17"/>
  <c r="P576" i="17" s="1"/>
  <c r="O246" i="17"/>
  <c r="P246" i="17" s="1"/>
  <c r="O427" i="17"/>
  <c r="P427" i="17" s="1"/>
  <c r="O595" i="17"/>
  <c r="P595" i="17" s="1"/>
  <c r="O149" i="17"/>
  <c r="P149" i="17" s="1"/>
  <c r="O221" i="17"/>
  <c r="P221" i="17" s="1"/>
  <c r="O653" i="17"/>
  <c r="P653" i="17" s="1"/>
  <c r="O14" i="17"/>
  <c r="P14" i="17" s="1"/>
  <c r="M14" i="17"/>
  <c r="O76" i="17"/>
  <c r="P76" i="17" s="1"/>
  <c r="O640" i="17"/>
  <c r="P640" i="17" s="1"/>
  <c r="O23" i="17"/>
  <c r="P23" i="17" s="1"/>
  <c r="L12" i="17"/>
  <c r="O700" i="17"/>
  <c r="P700" i="17" s="1"/>
  <c r="O735" i="17"/>
  <c r="P735" i="17" s="1"/>
  <c r="O648" i="17"/>
  <c r="P648" i="17" s="1"/>
  <c r="O316" i="17"/>
  <c r="P316" i="17" s="1"/>
  <c r="O498" i="17"/>
  <c r="P498" i="17" s="1"/>
  <c r="O667" i="17"/>
  <c r="P667" i="17" s="1"/>
  <c r="O327" i="17"/>
  <c r="P327" i="17" s="1"/>
  <c r="O378" i="17"/>
  <c r="P378" i="17" s="1"/>
  <c r="O408" i="17"/>
  <c r="P408" i="17" s="1"/>
  <c r="O112" i="17"/>
  <c r="P112" i="17" s="1"/>
  <c r="O115" i="17"/>
  <c r="P115" i="17" s="1"/>
  <c r="O65" i="17"/>
  <c r="P65" i="17" s="1"/>
  <c r="O82" i="17"/>
  <c r="P82" i="17" s="1"/>
  <c r="O664" i="17"/>
  <c r="P664" i="17" s="1"/>
  <c r="O302" i="17"/>
  <c r="P302" i="17" s="1"/>
  <c r="O62" i="17"/>
  <c r="P62" i="17" s="1"/>
  <c r="O152" i="17"/>
  <c r="P152" i="17" s="1"/>
  <c r="O168" i="17"/>
  <c r="P168" i="17" s="1"/>
  <c r="O167" i="17"/>
  <c r="P167" i="17" s="1"/>
  <c r="O622" i="17"/>
  <c r="P622" i="17" s="1"/>
  <c r="O337" i="17"/>
  <c r="P337" i="17" s="1"/>
  <c r="O88" i="17"/>
  <c r="P88" i="17" s="1"/>
  <c r="O89" i="17"/>
  <c r="P89" i="17" s="1"/>
  <c r="O57" i="17"/>
  <c r="P57" i="17" s="1"/>
  <c r="O513" i="17"/>
  <c r="P513" i="17" s="1"/>
  <c r="O729" i="17"/>
  <c r="P729" i="17" s="1"/>
  <c r="O372" i="17"/>
  <c r="P372" i="17" s="1"/>
  <c r="O95" i="17"/>
  <c r="P95" i="17" s="1"/>
  <c r="O159" i="17"/>
  <c r="P159" i="17" s="1"/>
  <c r="O55" i="17"/>
  <c r="P55" i="17" s="1"/>
  <c r="O98" i="17"/>
  <c r="P98" i="17" s="1"/>
  <c r="O682" i="17"/>
  <c r="P682" i="17" s="1"/>
  <c r="O401" i="17"/>
  <c r="P401" i="17" s="1"/>
  <c r="O165" i="17"/>
  <c r="P165" i="17" s="1"/>
  <c r="O46" i="17"/>
  <c r="P46" i="17" s="1"/>
  <c r="O43" i="17"/>
  <c r="P43" i="17" s="1"/>
  <c r="O712" i="17"/>
  <c r="P712" i="17" s="1"/>
  <c r="O360" i="17"/>
  <c r="P360" i="17" s="1"/>
  <c r="O129" i="17"/>
  <c r="P129" i="17" s="1"/>
  <c r="O135" i="17"/>
  <c r="P135" i="17" s="1"/>
  <c r="O15" i="17"/>
  <c r="P15" i="17" s="1"/>
  <c r="O531" i="17"/>
  <c r="P531" i="17" s="1"/>
  <c r="O237" i="17"/>
  <c r="P237" i="17" s="1"/>
  <c r="O390" i="17"/>
  <c r="P390" i="17" s="1"/>
  <c r="L14" i="17"/>
  <c r="O93" i="17"/>
  <c r="P93" i="17" s="1"/>
  <c r="O21" i="17"/>
  <c r="P21" i="17" s="1"/>
  <c r="O18" i="17"/>
  <c r="P18" i="17" s="1"/>
  <c r="O551" i="17"/>
  <c r="P551" i="17" s="1"/>
  <c r="O419" i="17"/>
  <c r="P419" i="17" s="1"/>
  <c r="O437" i="17"/>
  <c r="P437" i="17" s="1"/>
  <c r="O468" i="17"/>
  <c r="P468" i="17" s="1"/>
  <c r="O497" i="17"/>
  <c r="P497" i="17" s="1"/>
  <c r="O527" i="17"/>
  <c r="P527" i="17" s="1"/>
  <c r="O547" i="17"/>
  <c r="P547" i="17" s="1"/>
  <c r="O594" i="17"/>
  <c r="P594" i="17" s="1"/>
  <c r="O623" i="17"/>
  <c r="P623" i="17" s="1"/>
  <c r="O666" i="17"/>
  <c r="P666" i="17" s="1"/>
  <c r="O695" i="17"/>
  <c r="P695" i="17" s="1"/>
  <c r="O720" i="17"/>
  <c r="P720" i="17" s="1"/>
  <c r="O264" i="17"/>
  <c r="P264" i="17" s="1"/>
  <c r="O282" i="17"/>
  <c r="P282" i="17" s="1"/>
  <c r="O338" i="17"/>
  <c r="P338" i="17" s="1"/>
  <c r="O367" i="17"/>
  <c r="P367" i="17" s="1"/>
  <c r="O397" i="17"/>
  <c r="P397" i="17" s="1"/>
  <c r="O440" i="17"/>
  <c r="P440" i="17" s="1"/>
  <c r="O469" i="17"/>
  <c r="P469" i="17" s="1"/>
  <c r="O510" i="17"/>
  <c r="P510" i="17" s="1"/>
  <c r="O565" i="17"/>
  <c r="P565" i="17" s="1"/>
  <c r="O608" i="17"/>
  <c r="P608" i="17" s="1"/>
  <c r="O637" i="17"/>
  <c r="P637" i="17" s="1"/>
  <c r="O680" i="17"/>
  <c r="P680" i="17" s="1"/>
  <c r="O363" i="17"/>
  <c r="P363" i="17" s="1"/>
  <c r="O279" i="17"/>
  <c r="P279" i="17" s="1"/>
  <c r="O730" i="17"/>
  <c r="P730" i="17" s="1"/>
  <c r="O352" i="17"/>
  <c r="P352" i="17" s="1"/>
  <c r="O260" i="17"/>
  <c r="P260" i="17" s="1"/>
  <c r="O361" i="17"/>
  <c r="P361" i="17" s="1"/>
  <c r="O532" i="17"/>
  <c r="P532" i="17" s="1"/>
  <c r="O399" i="17"/>
  <c r="P399" i="17" s="1"/>
  <c r="O736" i="17"/>
  <c r="P736" i="17" s="1"/>
  <c r="O587" i="17"/>
  <c r="P587" i="17" s="1"/>
  <c r="O459" i="17"/>
  <c r="P459" i="17" s="1"/>
  <c r="O619" i="17"/>
  <c r="P619" i="17" s="1"/>
  <c r="O650" i="17"/>
  <c r="P650" i="17" s="1"/>
  <c r="O585" i="17"/>
  <c r="P585" i="17" s="1"/>
  <c r="O639" i="17"/>
  <c r="P639" i="17" s="1"/>
  <c r="O424" i="17"/>
  <c r="P424" i="17" s="1"/>
  <c r="O253" i="17"/>
  <c r="P253" i="17" s="1"/>
  <c r="O435" i="17"/>
  <c r="P435" i="17" s="1"/>
  <c r="O364" i="17"/>
  <c r="P364" i="17" s="1"/>
  <c r="O583" i="17"/>
  <c r="P583" i="17" s="1"/>
  <c r="O252" i="17"/>
  <c r="P252" i="17" s="1"/>
  <c r="O382" i="17"/>
  <c r="P382" i="17" s="1"/>
  <c r="O716" i="17"/>
  <c r="P716" i="17" s="1"/>
  <c r="O391" i="17"/>
  <c r="P391" i="17" s="1"/>
  <c r="O222" i="17"/>
  <c r="P222" i="17" s="1"/>
  <c r="O356" i="17"/>
  <c r="P356" i="17" s="1"/>
  <c r="O451" i="17"/>
  <c r="P451" i="17" s="1"/>
  <c r="O618" i="17"/>
  <c r="P618" i="17" s="1"/>
  <c r="O236" i="17"/>
  <c r="P236" i="17" s="1"/>
  <c r="O545" i="17"/>
  <c r="P545" i="17" s="1"/>
  <c r="O722" i="17"/>
  <c r="P722" i="17" s="1"/>
  <c r="O567" i="17"/>
  <c r="P567" i="17" s="1"/>
  <c r="O406" i="17"/>
  <c r="P406" i="17" s="1"/>
  <c r="O324" i="17"/>
  <c r="P324" i="17" s="1"/>
  <c r="O255" i="17"/>
  <c r="P255" i="17" s="1"/>
  <c r="O582" i="17"/>
  <c r="P582" i="17" s="1"/>
  <c r="O453" i="17"/>
  <c r="P453" i="17" s="1"/>
  <c r="O613" i="17"/>
  <c r="P613" i="17" s="1"/>
  <c r="O713" i="17"/>
  <c r="P713" i="17" s="1"/>
  <c r="O336" i="17"/>
  <c r="P336" i="17" s="1"/>
  <c r="O247" i="17"/>
  <c r="P247" i="17" s="1"/>
  <c r="O350" i="17"/>
  <c r="P350" i="17" s="1"/>
  <c r="O462" i="17"/>
  <c r="P462" i="17" s="1"/>
  <c r="O306" i="17"/>
  <c r="P306" i="17" s="1"/>
  <c r="O486" i="17"/>
  <c r="P486" i="17" s="1"/>
  <c r="O442" i="17"/>
  <c r="P442" i="17" s="1"/>
  <c r="O621" i="17"/>
  <c r="P621" i="17" s="1"/>
  <c r="O737" i="17"/>
  <c r="P737" i="17" s="1"/>
  <c r="O418" i="17"/>
  <c r="P418" i="17" s="1"/>
  <c r="O467" i="17"/>
  <c r="P467" i="17" s="1"/>
  <c r="O721" i="17"/>
  <c r="P721" i="17" s="1"/>
  <c r="O405" i="17"/>
  <c r="P405" i="17" s="1"/>
  <c r="O325" i="17"/>
  <c r="P325" i="17" s="1"/>
  <c r="O445" i="17"/>
  <c r="P445" i="17" s="1"/>
  <c r="O612" i="17"/>
  <c r="P612" i="17" s="1"/>
  <c r="O487" i="17"/>
  <c r="P487" i="17" s="1"/>
  <c r="O572" i="17"/>
  <c r="P572" i="17" s="1"/>
  <c r="O238" i="17"/>
  <c r="P238" i="17" s="1"/>
  <c r="O369" i="17"/>
  <c r="P369" i="17" s="1"/>
  <c r="O703" i="17"/>
  <c r="P703" i="17" s="1"/>
  <c r="O298" i="17"/>
  <c r="P298" i="17" s="1"/>
  <c r="O345" i="17"/>
  <c r="P345" i="17" s="1"/>
  <c r="O523" i="17"/>
  <c r="P523" i="17" s="1"/>
  <c r="O693" i="17"/>
  <c r="P693" i="17" s="1"/>
  <c r="O609" i="17"/>
  <c r="P609" i="17" s="1"/>
  <c r="O596" i="17"/>
  <c r="P596" i="17" s="1"/>
  <c r="O293" i="17"/>
  <c r="P293" i="17" s="1"/>
  <c r="O455" i="17"/>
  <c r="P455" i="17" s="1"/>
  <c r="O300" i="17"/>
  <c r="P300" i="17" s="1"/>
  <c r="O569" i="17"/>
  <c r="P569" i="17" s="1"/>
  <c r="O441" i="17"/>
  <c r="P441" i="17" s="1"/>
  <c r="O601" i="17"/>
  <c r="P601" i="17" s="1"/>
  <c r="O702" i="17"/>
  <c r="P702" i="17" s="1"/>
  <c r="O319" i="17"/>
  <c r="P319" i="17" s="1"/>
  <c r="O662" i="17"/>
  <c r="P662" i="17" s="1"/>
  <c r="O328" i="17"/>
  <c r="P328" i="17" s="1"/>
  <c r="O413" i="17"/>
  <c r="P413" i="17" s="1"/>
  <c r="O591" i="17"/>
  <c r="P591" i="17" s="1"/>
  <c r="O614" i="17"/>
  <c r="P614" i="17" s="1"/>
  <c r="O699" i="17"/>
  <c r="P699" i="17" s="1"/>
  <c r="O436" i="17"/>
  <c r="P436" i="17" s="1"/>
  <c r="O374" i="17"/>
  <c r="P374" i="17" s="1"/>
  <c r="O296" i="17"/>
  <c r="P296" i="17" s="1"/>
  <c r="O292" i="17"/>
  <c r="P292" i="17" s="1"/>
  <c r="O329" i="17"/>
  <c r="P329" i="17" s="1"/>
  <c r="O433" i="17"/>
  <c r="P433" i="17" s="1"/>
  <c r="O600" i="17"/>
  <c r="P600" i="17" s="1"/>
  <c r="O471" i="17"/>
  <c r="P471" i="17" s="1"/>
  <c r="O559" i="17"/>
  <c r="P559" i="17" s="1"/>
  <c r="O659" i="17"/>
  <c r="P659" i="17" s="1"/>
  <c r="O273" i="17"/>
  <c r="P273" i="17" s="1"/>
  <c r="O691" i="17"/>
  <c r="P691" i="17" s="1"/>
  <c r="O663" i="17"/>
  <c r="P663" i="17" s="1"/>
  <c r="O686" i="17"/>
  <c r="P686" i="17" s="1"/>
  <c r="O449" i="17"/>
  <c r="P449" i="17" s="1"/>
  <c r="O499" i="17"/>
  <c r="P499" i="17" s="1"/>
  <c r="O446" i="17"/>
  <c r="P446" i="17" s="1"/>
  <c r="O377" i="17"/>
  <c r="P377" i="17" s="1"/>
  <c r="O655" i="17"/>
  <c r="P655" i="17" s="1"/>
  <c r="O323" i="17"/>
  <c r="P323" i="17" s="1"/>
  <c r="O444" i="17"/>
  <c r="P444" i="17" s="1"/>
  <c r="O283" i="17"/>
  <c r="P283" i="17" s="1"/>
  <c r="O463" i="17"/>
  <c r="P463" i="17" s="1"/>
  <c r="O558" i="17"/>
  <c r="P558" i="17" s="1"/>
  <c r="O428" i="17"/>
  <c r="P428" i="17" s="1"/>
  <c r="O522" i="17"/>
  <c r="P522" i="17" s="1"/>
  <c r="O690" i="17"/>
  <c r="P690" i="17" s="1"/>
  <c r="O307" i="17"/>
  <c r="P307" i="17" s="1"/>
  <c r="O560" i="17"/>
  <c r="P560" i="17" s="1"/>
  <c r="O657" i="17"/>
  <c r="P657" i="17" s="1"/>
  <c r="O482" i="17"/>
  <c r="P482" i="17" s="1"/>
  <c r="O709" i="17"/>
  <c r="P709" i="17" s="1"/>
  <c r="O242" i="17"/>
  <c r="P242" i="17" s="1"/>
  <c r="O278" i="17"/>
  <c r="P278" i="17" s="1"/>
  <c r="O311" i="17"/>
  <c r="P311" i="17" s="1"/>
  <c r="O351" i="17"/>
  <c r="P351" i="17" s="1"/>
  <c r="O392" i="17"/>
  <c r="P392" i="17" s="1"/>
  <c r="O423" i="17"/>
  <c r="P423" i="17" s="1"/>
  <c r="O464" i="17"/>
  <c r="P464" i="17" s="1"/>
  <c r="O243" i="17"/>
  <c r="P243" i="17" s="1"/>
  <c r="O266" i="17"/>
  <c r="P266" i="17" s="1"/>
  <c r="O314" i="17"/>
  <c r="P314" i="17" s="1"/>
  <c r="O346" i="17"/>
  <c r="P346" i="17" s="1"/>
  <c r="O395" i="17"/>
  <c r="P395" i="17" s="1"/>
  <c r="O514" i="17"/>
  <c r="P514" i="17" s="1"/>
  <c r="O654" i="17"/>
  <c r="P654" i="17" s="1"/>
  <c r="O373" i="17"/>
  <c r="P373" i="17" s="1"/>
  <c r="O515" i="17"/>
  <c r="P515" i="17" s="1"/>
  <c r="O731" i="17"/>
  <c r="P731" i="17" s="1"/>
  <c r="O381" i="17"/>
  <c r="P381" i="17" s="1"/>
  <c r="O536" i="17"/>
  <c r="P536" i="17" s="1"/>
  <c r="O684" i="17"/>
  <c r="P684" i="17" s="1"/>
  <c r="O404" i="17"/>
  <c r="P404" i="17" s="1"/>
  <c r="O537" i="17"/>
  <c r="P537" i="17" s="1"/>
  <c r="O685" i="17"/>
  <c r="P685" i="17" s="1"/>
  <c r="O410" i="17"/>
  <c r="P410" i="17" s="1"/>
  <c r="O301" i="17"/>
  <c r="P301" i="17" s="1"/>
  <c r="O502" i="17"/>
  <c r="P502" i="17" s="1"/>
  <c r="O641" i="17"/>
  <c r="P641" i="17" s="1"/>
  <c r="O275" i="17"/>
  <c r="P275" i="17" s="1"/>
  <c r="O503" i="17"/>
  <c r="P503" i="17" s="1"/>
  <c r="O644" i="17"/>
  <c r="P644" i="17" s="1"/>
  <c r="O368" i="17"/>
  <c r="P368" i="17" s="1"/>
  <c r="O261" i="17"/>
  <c r="P261" i="17" s="1"/>
  <c r="O473" i="17"/>
  <c r="P473" i="17" s="1"/>
  <c r="O672" i="17"/>
  <c r="P672" i="17" s="1"/>
  <c r="O310" i="17"/>
  <c r="P310" i="17" s="1"/>
  <c r="O533" i="17"/>
  <c r="P533" i="17" s="1"/>
  <c r="O673" i="17"/>
  <c r="P673" i="17" s="1"/>
  <c r="O318" i="17"/>
  <c r="P318" i="17" s="1"/>
  <c r="O284" i="17"/>
  <c r="P284" i="17" s="1"/>
  <c r="O432" i="17"/>
  <c r="P432" i="17" s="1"/>
  <c r="O630" i="17"/>
  <c r="P630" i="17" s="1"/>
  <c r="O422" i="17"/>
  <c r="P422" i="17" s="1"/>
  <c r="O631" i="17"/>
  <c r="P631" i="17" s="1"/>
  <c r="O271" i="17"/>
  <c r="P271" i="17" s="1"/>
  <c r="O248" i="17"/>
  <c r="P248" i="17" s="1"/>
  <c r="O400" i="17"/>
  <c r="P400" i="17" s="1"/>
  <c r="O520" i="17"/>
  <c r="P520" i="17" s="1"/>
  <c r="O227" i="17"/>
  <c r="P227" i="17" s="1"/>
  <c r="O379" i="17"/>
  <c r="P379" i="17" s="1"/>
  <c r="O590" i="17"/>
  <c r="P590" i="17" s="1"/>
  <c r="O234" i="17"/>
  <c r="P234" i="17" s="1"/>
  <c r="O387" i="17"/>
  <c r="P387" i="17" s="1"/>
  <c r="O359" i="17"/>
  <c r="P359" i="17" s="1"/>
  <c r="O541" i="17"/>
  <c r="P541" i="17" s="1"/>
  <c r="O257" i="17"/>
  <c r="P257" i="17" s="1"/>
  <c r="O409" i="17"/>
  <c r="P409" i="17" s="1"/>
  <c r="O542" i="17"/>
  <c r="P542" i="17" s="1"/>
  <c r="O265" i="17"/>
  <c r="P265" i="17" s="1"/>
  <c r="O417" i="17"/>
  <c r="P417" i="17" s="1"/>
  <c r="O388" i="17"/>
  <c r="P388" i="17" s="1"/>
  <c r="O431" i="17"/>
  <c r="P431" i="17" s="1"/>
  <c r="O454" i="17"/>
  <c r="P454" i="17" s="1"/>
  <c r="O511" i="17"/>
  <c r="P511" i="17" s="1"/>
  <c r="O578" i="17"/>
  <c r="P578" i="17" s="1"/>
  <c r="O603" i="17"/>
  <c r="P603" i="17" s="1"/>
  <c r="O632" i="17"/>
  <c r="P632" i="17" s="1"/>
  <c r="O675" i="17"/>
  <c r="P675" i="17" s="1"/>
  <c r="O704" i="17"/>
  <c r="P704" i="17" s="1"/>
  <c r="O668" i="17"/>
  <c r="P668" i="17" s="1"/>
  <c r="O711" i="17"/>
  <c r="P711" i="17" s="1"/>
  <c r="O645" i="17"/>
  <c r="P645" i="17" s="1"/>
  <c r="O460" i="17"/>
  <c r="P460" i="17" s="1"/>
  <c r="O681" i="17"/>
  <c r="P681" i="17" s="1"/>
  <c r="O627" i="17"/>
  <c r="P627" i="17" s="1"/>
  <c r="O529" i="17"/>
  <c r="P529" i="17" s="1"/>
  <c r="O538" i="17"/>
  <c r="P538" i="17" s="1"/>
  <c r="O550" i="17"/>
  <c r="P550" i="17" s="1"/>
  <c r="O518" i="17"/>
  <c r="P518" i="17" s="1"/>
  <c r="O573" i="17"/>
  <c r="P573" i="17" s="1"/>
  <c r="O722" i="48" l="1"/>
  <c r="P722" i="48"/>
  <c r="N464" i="48"/>
  <c r="O464" i="48" s="1"/>
  <c r="P464" i="48" s="1"/>
  <c r="L464" i="48"/>
  <c r="M464" i="48" s="1"/>
  <c r="O727" i="48"/>
  <c r="P727" i="48" s="1"/>
  <c r="G482" i="48"/>
  <c r="K473" i="48"/>
  <c r="N462" i="48"/>
  <c r="O462" i="48" s="1"/>
  <c r="P462" i="48" s="1"/>
  <c r="L462" i="48"/>
  <c r="M462" i="48" s="1"/>
  <c r="G480" i="48"/>
  <c r="K471" i="48"/>
  <c r="O718" i="48"/>
  <c r="P718" i="48" s="1"/>
  <c r="L463" i="48"/>
  <c r="M463" i="48" s="1"/>
  <c r="N463" i="48"/>
  <c r="O463" i="48" s="1"/>
  <c r="P463" i="48" s="1"/>
  <c r="G481" i="48"/>
  <c r="K472" i="48"/>
  <c r="O730" i="48"/>
  <c r="P730" i="48" s="1"/>
  <c r="O455" i="48"/>
  <c r="P455" i="48" s="1"/>
  <c r="O453" i="48"/>
  <c r="P453" i="48" s="1"/>
  <c r="O721" i="48"/>
  <c r="P721" i="48" s="1"/>
  <c r="L717" i="17"/>
  <c r="M717" i="17" s="1"/>
  <c r="N726" i="17"/>
  <c r="O726" i="17" s="1"/>
  <c r="P726" i="17" s="1"/>
  <c r="L726" i="17"/>
  <c r="M726" i="17" s="1"/>
  <c r="O480" i="17"/>
  <c r="P480" i="17" s="1"/>
  <c r="N490" i="17"/>
  <c r="L490" i="17"/>
  <c r="M490" i="17" s="1"/>
  <c r="N481" i="17"/>
  <c r="L481" i="17"/>
  <c r="M481" i="17" s="1"/>
  <c r="N471" i="48" l="1"/>
  <c r="O471" i="48" s="1"/>
  <c r="P471" i="48" s="1"/>
  <c r="L471" i="48"/>
  <c r="M471" i="48" s="1"/>
  <c r="G489" i="48"/>
  <c r="K489" i="48" s="1"/>
  <c r="K480" i="48"/>
  <c r="G491" i="48"/>
  <c r="K491" i="48" s="1"/>
  <c r="K482" i="48"/>
  <c r="L473" i="48"/>
  <c r="M473" i="48" s="1"/>
  <c r="N473" i="48"/>
  <c r="N472" i="48"/>
  <c r="L472" i="48"/>
  <c r="M472" i="48" s="1"/>
  <c r="G490" i="48"/>
  <c r="K490" i="48" s="1"/>
  <c r="K481" i="48"/>
  <c r="O481" i="17"/>
  <c r="P481" i="17" s="1"/>
  <c r="O490" i="17"/>
  <c r="P490" i="17" s="1"/>
  <c r="N481" i="48" l="1"/>
  <c r="O481" i="48" s="1"/>
  <c r="P481" i="48" s="1"/>
  <c r="L481" i="48"/>
  <c r="M481" i="48" s="1"/>
  <c r="N482" i="48"/>
  <c r="L482" i="48"/>
  <c r="M482" i="48" s="1"/>
  <c r="N490" i="48"/>
  <c r="L490" i="48"/>
  <c r="M490" i="48" s="1"/>
  <c r="O472" i="48"/>
  <c r="P472" i="48" s="1"/>
  <c r="L491" i="48"/>
  <c r="M491" i="48" s="1"/>
  <c r="N491" i="48"/>
  <c r="O473" i="48"/>
  <c r="P473" i="48" s="1"/>
  <c r="N480" i="48"/>
  <c r="O480" i="48" s="1"/>
  <c r="P480" i="48" s="1"/>
  <c r="L480" i="48"/>
  <c r="M480" i="48" s="1"/>
  <c r="N489" i="48"/>
  <c r="O489" i="48" s="1"/>
  <c r="P489" i="48" s="1"/>
  <c r="L489" i="48"/>
  <c r="M489" i="48" s="1"/>
  <c r="O491" i="48" l="1"/>
  <c r="P491" i="48" s="1"/>
  <c r="O490" i="48"/>
  <c r="P490" i="48" s="1"/>
  <c r="O482" i="48"/>
  <c r="P482" i="48" s="1"/>
</calcChain>
</file>

<file path=xl/sharedStrings.xml><?xml version="1.0" encoding="utf-8"?>
<sst xmlns="http://schemas.openxmlformats.org/spreadsheetml/2006/main" count="8912" uniqueCount="1105">
  <si>
    <t>Khấu hao /1 ca</t>
  </si>
  <si>
    <t>Thửa</t>
  </si>
  <si>
    <t>Danh mục dụng cụ</t>
  </si>
  <si>
    <t>Danh mục vật liệu</t>
  </si>
  <si>
    <t>Công suất
(kw/h)</t>
  </si>
  <si>
    <r>
      <t xml:space="preserve">Thời gian
SD máy
</t>
    </r>
    <r>
      <rPr>
        <sz val="12"/>
        <rFont val="Times New Roman"/>
        <family val="1"/>
      </rPr>
      <t>(năm)</t>
    </r>
  </si>
  <si>
    <t>chung</t>
  </si>
  <si>
    <t>Chi phí
LĐKT</t>
  </si>
  <si>
    <t>Chi phí
LĐPT</t>
  </si>
  <si>
    <t>Chi phí
dụng cụ</t>
  </si>
  <si>
    <t>Chi phí
vật liệu</t>
  </si>
  <si>
    <t>Chi phí
trực tiếp (A1)</t>
  </si>
  <si>
    <t>Chi phí
chung</t>
  </si>
  <si>
    <t>Đơn giá
sản phẩm</t>
  </si>
  <si>
    <t>Ghi chú</t>
  </si>
  <si>
    <t>Danh mục sản phẩm</t>
  </si>
  <si>
    <t>Định biên</t>
  </si>
  <si>
    <t>Điện năng</t>
  </si>
  <si>
    <t>TT</t>
  </si>
  <si>
    <t>A</t>
  </si>
  <si>
    <t>BHXH-YT</t>
  </si>
  <si>
    <t>B</t>
  </si>
  <si>
    <t>PCTN</t>
  </si>
  <si>
    <t>STT</t>
  </si>
  <si>
    <t>KK</t>
  </si>
  <si>
    <t>I</t>
  </si>
  <si>
    <t>PCKV</t>
  </si>
  <si>
    <t>Đơn giá
(đ/ca)</t>
  </si>
  <si>
    <t>Số
TT</t>
  </si>
  <si>
    <t>Danh mục thiết bị</t>
  </si>
  <si>
    <t>Nguyên giá</t>
  </si>
  <si>
    <t>1-3</t>
  </si>
  <si>
    <t>1</t>
  </si>
  <si>
    <t>2</t>
  </si>
  <si>
    <t>3</t>
  </si>
  <si>
    <t>Thành tiền</t>
  </si>
  <si>
    <t>10</t>
  </si>
  <si>
    <t>11</t>
  </si>
  <si>
    <t>ĐVT</t>
  </si>
  <si>
    <t>nhóm</t>
  </si>
  <si>
    <t>Công</t>
  </si>
  <si>
    <t>Bút bi</t>
  </si>
  <si>
    <t>Máy photocopy</t>
  </si>
  <si>
    <t>Điều hoà nhiệt độ</t>
  </si>
  <si>
    <t>Danh mục công việc</t>
  </si>
  <si>
    <t>Số</t>
  </si>
  <si>
    <t>cái</t>
  </si>
  <si>
    <t>Bàn làm việc</t>
  </si>
  <si>
    <t>Hệ số</t>
  </si>
  <si>
    <t>lương</t>
  </si>
  <si>
    <t>Lao động phổ thông</t>
  </si>
  <si>
    <t>Hồ sơ</t>
  </si>
  <si>
    <t>Bậc việc</t>
  </si>
  <si>
    <t>Lương CB</t>
  </si>
  <si>
    <t>Bình quân</t>
  </si>
  <si>
    <t>0.2/5 người</t>
  </si>
  <si>
    <t>Tổng cộng</t>
  </si>
  <si>
    <t>lương CB</t>
  </si>
  <si>
    <t>I- NGOẠI NGHIỆP:</t>
  </si>
  <si>
    <t>II- NỘI NGHIỆP:</t>
  </si>
  <si>
    <t>Ngoại nghiệp</t>
  </si>
  <si>
    <t>Nội nghiệp</t>
  </si>
  <si>
    <t>Phụ cấp</t>
  </si>
  <si>
    <t>Kỹ thuật viên</t>
  </si>
  <si>
    <t>Nhóm 2</t>
  </si>
  <si>
    <t>Nhóm 3</t>
  </si>
  <si>
    <t>1KS1</t>
  </si>
  <si>
    <t>1KS2</t>
  </si>
  <si>
    <t>Kỹ sư</t>
  </si>
  <si>
    <t>1KS4</t>
  </si>
  <si>
    <t>1 ngày công</t>
  </si>
  <si>
    <t>DANH MỤC CÔNG VIỆC</t>
  </si>
  <si>
    <t>LX3</t>
  </si>
  <si>
    <t>KTV3</t>
  </si>
  <si>
    <t>KTV4</t>
  </si>
  <si>
    <t>KTV5</t>
  </si>
  <si>
    <t>KTV6</t>
  </si>
  <si>
    <t>KTV7</t>
  </si>
  <si>
    <t>KTV8</t>
  </si>
  <si>
    <t>KTV9</t>
  </si>
  <si>
    <t>KTV10</t>
  </si>
  <si>
    <t>KTV11</t>
  </si>
  <si>
    <t>KTV12</t>
  </si>
  <si>
    <t>KS2</t>
  </si>
  <si>
    <t>KS3</t>
  </si>
  <si>
    <t>KS4</t>
  </si>
  <si>
    <t>KS5</t>
  </si>
  <si>
    <t>KS6</t>
  </si>
  <si>
    <t>KS7</t>
  </si>
  <si>
    <t>KS8</t>
  </si>
  <si>
    <t>Lương ngày ngoại nghiệp</t>
  </si>
  <si>
    <t>Lương ngày nội nghiệp</t>
  </si>
  <si>
    <t>Ngoại nghiệp:</t>
  </si>
  <si>
    <t>Nội nghiệp:</t>
  </si>
  <si>
    <t>Lái xe</t>
  </si>
  <si>
    <t>Nhóm 1</t>
  </si>
  <si>
    <t>Loại</t>
  </si>
  <si>
    <t>ăn</t>
  </si>
  <si>
    <t>trưa</t>
  </si>
  <si>
    <t>LX2</t>
  </si>
  <si>
    <t>LX4</t>
  </si>
  <si>
    <t>KTV1</t>
  </si>
  <si>
    <t>KTV2</t>
  </si>
  <si>
    <t>KS1</t>
  </si>
  <si>
    <t>1KS3</t>
  </si>
  <si>
    <t>II</t>
  </si>
  <si>
    <t>1KTV4</t>
  </si>
  <si>
    <t>10.2</t>
  </si>
  <si>
    <t>III</t>
  </si>
  <si>
    <t>V</t>
  </si>
  <si>
    <t>Thời hạn
(tháng)</t>
  </si>
  <si>
    <t>ĐVT:</t>
  </si>
  <si>
    <t>Đơn giá
(đồng)</t>
  </si>
  <si>
    <t>Máy tính để bàn</t>
  </si>
  <si>
    <t>đồng</t>
  </si>
  <si>
    <t>Mực máy photocopy</t>
  </si>
  <si>
    <t>Cặp để tài liệu</t>
  </si>
  <si>
    <t>Hao hụt 5%</t>
  </si>
  <si>
    <t>kW/h</t>
  </si>
  <si>
    <t>KK1</t>
  </si>
  <si>
    <t>KK2</t>
  </si>
  <si>
    <t>KK3</t>
  </si>
  <si>
    <t>I.1</t>
  </si>
  <si>
    <t>I.3</t>
  </si>
  <si>
    <t>III.1</t>
  </si>
  <si>
    <t>III.2</t>
  </si>
  <si>
    <t>III.3</t>
  </si>
  <si>
    <t>IV.1</t>
  </si>
  <si>
    <t>IV.2</t>
  </si>
  <si>
    <t>IV.3</t>
  </si>
  <si>
    <t>IV.4</t>
  </si>
  <si>
    <t>2.1</t>
  </si>
  <si>
    <t>1.1</t>
  </si>
  <si>
    <t>1.2</t>
  </si>
  <si>
    <t>2.2</t>
  </si>
  <si>
    <t>V.1</t>
  </si>
  <si>
    <t>V.2</t>
  </si>
  <si>
    <t>D</t>
  </si>
  <si>
    <t>Điểm</t>
  </si>
  <si>
    <t>Bộ tài liệu</t>
  </si>
  <si>
    <t>Cuộc</t>
  </si>
  <si>
    <t>GCN</t>
  </si>
  <si>
    <t>Bộ/đĩa</t>
  </si>
  <si>
    <t>Tờ</t>
  </si>
  <si>
    <t>Công việc chuẩn bị</t>
  </si>
  <si>
    <t>1.3</t>
  </si>
  <si>
    <t>1.4</t>
  </si>
  <si>
    <t>Hướng dẫn lập hồ sơ đề nghị đăng ký, cấp GCN</t>
  </si>
  <si>
    <t>1.4.1</t>
  </si>
  <si>
    <t>Theo hình thức trực tiếp</t>
  </si>
  <si>
    <t>1.4.2</t>
  </si>
  <si>
    <t>Theo hình thức trực tuyến</t>
  </si>
  <si>
    <t>Nhận, kiểm tra tính đầy đủ, hợp lệ và viết giấy biên nhận hoặc trả lại hồ sơ, vào sổ theo dõi nhận, trả hồ sơ (theo hình thức trực tiếp, trực tuyến)</t>
  </si>
  <si>
    <t>Tạo tệp (File) dữ liệu hồ sơ số và nhập thông tin do người sử dụng đất kê khai, đăng ký</t>
  </si>
  <si>
    <t>4</t>
  </si>
  <si>
    <t>5</t>
  </si>
  <si>
    <t>6</t>
  </si>
  <si>
    <t>7</t>
  </si>
  <si>
    <t>8</t>
  </si>
  <si>
    <t>8.1</t>
  </si>
  <si>
    <t>8.2</t>
  </si>
  <si>
    <t>9</t>
  </si>
  <si>
    <t>Trích lục thửa đất</t>
  </si>
  <si>
    <t>Trích lục trên bản đồ dạng số</t>
  </si>
  <si>
    <t>Trích lục trên bản đồ dạng giấy</t>
  </si>
  <si>
    <t>6.1</t>
  </si>
  <si>
    <t>Chuyển, nhận thông tin theo hình thức liên thông</t>
  </si>
  <si>
    <t>6.2</t>
  </si>
  <si>
    <t>Chuyển, nhận thông tin theo hình thức trực tiếp</t>
  </si>
  <si>
    <t>7.1</t>
  </si>
  <si>
    <t>Theo hình thức trực tiếp (gửi về xã, thị trấn để thông báo cho người sử dụng đất)</t>
  </si>
  <si>
    <t>Theo hình thức trực tuyến (gửi cho người sử dụng đất để thực hiện nghĩa vụ tài chính)</t>
  </si>
  <si>
    <t>Nhập thông tin về nghĩa vụ tài chính, đăng ký vào hồ sơ địa chính</t>
  </si>
  <si>
    <t>Chuẩn bị hợp đồng cho thuê đất (nếu có)</t>
  </si>
  <si>
    <t>In GCN</t>
  </si>
  <si>
    <t>10.1</t>
  </si>
  <si>
    <t>Trực tiếp từ cơ sở dữ liệu dạng số</t>
  </si>
  <si>
    <t>Đối với những nơi chưa có bản đồ dạng số</t>
  </si>
  <si>
    <t>Lập và gửi hồ sơ trình ký GCN, lập hồ sơ theo dõi việc gửi tài liệu</t>
  </si>
  <si>
    <t>12</t>
  </si>
  <si>
    <t>13</t>
  </si>
  <si>
    <t>Nhập bổ sung thông tin dữ liệu về GCN</t>
  </si>
  <si>
    <t>14</t>
  </si>
  <si>
    <t>Quét giấy tờ pháp lý và xử lý tập tin</t>
  </si>
  <si>
    <t>Quét giấy tờ pháp lý về quyền sử dụng đất, quyền sở hữu nhà ở và tài sản khác gắn liền với đất</t>
  </si>
  <si>
    <t>Quét trang A3</t>
  </si>
  <si>
    <t>Quét trang A4</t>
  </si>
  <si>
    <t>Xử lý các tệp tin quét thành tệp (File) hồ sơ quét dạng số của thửa đất, lưu trữ dưới khuôn dạng tệp tin PDF</t>
  </si>
  <si>
    <t>Tạo liên kết hồ sơ quét dạng số với thửa đất trong cơ sở dữ liệu</t>
  </si>
  <si>
    <t>15</t>
  </si>
  <si>
    <t>16</t>
  </si>
  <si>
    <t>CÁC NỘI DUNG THỰC HIỆN TẠI ĐỊA BÀN CẤP TỈNH</t>
  </si>
  <si>
    <t>Lập hồ sơ địa chính</t>
  </si>
  <si>
    <t>Hoàn thiện BĐĐC và Sổ mục kê đất đai theo kết quả đăng ký, cấp GCN</t>
  </si>
  <si>
    <t>Lập, hoàn thiện sổ địa chính điện tử</t>
  </si>
  <si>
    <t>Sao, in ấn hồ sơ địa chính để cung cấp cho xã, thị trấn quản lý và khai thác sử dụng</t>
  </si>
  <si>
    <t>Bản đồ địa chính</t>
  </si>
  <si>
    <t>LĐPT</t>
  </si>
  <si>
    <t>Bộ/ đĩa</t>
  </si>
  <si>
    <t>Nhận, kiểm tra tính đầy đủ, hợp lệ và viết (xuất) giấy biên nhận hoặc trả lại hồ sơ, vào sổ theo dõi nhận, trả hồ sơ (theo hình thức trực tiếp, trực tuyến)</t>
  </si>
  <si>
    <t>Trích lục thửa đất từ BĐĐC, các loại bản đồ, sơ đồ khác (trường hợp phải trích đo địa chính hoặc chỉnh lý bản đồ thửa đất thì áp dụng định mức theo quy định tại Chương I Phần II)</t>
  </si>
  <si>
    <t>11.1</t>
  </si>
  <si>
    <t>11.2</t>
  </si>
  <si>
    <t>15.1</t>
  </si>
  <si>
    <t>15.2</t>
  </si>
  <si>
    <t>17</t>
  </si>
  <si>
    <t>17.1</t>
  </si>
  <si>
    <t>17.2</t>
  </si>
  <si>
    <t>Nhận bản thông báo cập nhật hồ sơ địa chính cấp huyện chuyển đến đối với những nơi chưa liên thông</t>
  </si>
  <si>
    <t>ĐM Đất</t>
  </si>
  <si>
    <t>ĐM TS</t>
  </si>
  <si>
    <t>ĐM Đất + TS</t>
  </si>
  <si>
    <t>Tạo tệp (File) dữ liệu hồ sơ số và nhập thông tin do người sử dụng đất, quản lý đất kê khai, đăng ký</t>
  </si>
  <si>
    <t>4.1</t>
  </si>
  <si>
    <t>4.2</t>
  </si>
  <si>
    <t>Kiểm tra xác minh thực địa với hồ sơ đề nghị đăng ký, cấp GCN, xác nhận sơ đồ tài sản trong trường hợp chưa có xác nhận của cơ quan có tư cách pháp nhân hành nghề về đo đạc, xây dựng</t>
  </si>
  <si>
    <t>Nhập ý kiến xác nhận của cấp tỉnh vào tệp (File) dữ liệu hồ sơ số</t>
  </si>
  <si>
    <t>12.1</t>
  </si>
  <si>
    <t>12.2</t>
  </si>
  <si>
    <t>Bộ/xã , thị trấn</t>
  </si>
  <si>
    <t>Hướng dẫn lập hồ sơ đề nghị đăng ký, cấp đổi GCN</t>
  </si>
  <si>
    <t>13.1</t>
  </si>
  <si>
    <t>13.2</t>
  </si>
  <si>
    <t>Hướng dẫn lập hồ sơ đề nghị đăng ký, cấp đổi, cấp lại GCN</t>
  </si>
  <si>
    <t>Nhập thông tin thửa đất, tài sản gắn liền với đất, đăng ký vào hồ sơ địa chính</t>
  </si>
  <si>
    <t>Hướng dẫn lập hồ sơ đề nghị cấp lại hoặc đề nghị cấp đổi GCN</t>
  </si>
  <si>
    <t>Tạo tệp (File) dữ liệu hồ sơ số và nhập thông tin do người sử dụng đất quản lý kê khai, đăng ký</t>
  </si>
  <si>
    <t>Nhập ý kiến nội dung xác nhận của cấp tỉnh vào tệp (File) dữ liệu hồ sơ số</t>
  </si>
  <si>
    <t>Hướng dẫn lập hồ sơ đăng ký biến động đất đai</t>
  </si>
  <si>
    <t>VI</t>
  </si>
  <si>
    <t>VII</t>
  </si>
  <si>
    <t>VII.1</t>
  </si>
  <si>
    <t>VII.2</t>
  </si>
  <si>
    <t>VIII</t>
  </si>
  <si>
    <t>VIII.1</t>
  </si>
  <si>
    <t>VIII.2</t>
  </si>
  <si>
    <t>VIII.3</t>
  </si>
  <si>
    <t>XI</t>
  </si>
  <si>
    <t>TRÍCH LỤC HỒ SƠ ĐỊA CHÍNH</t>
  </si>
  <si>
    <t>Nhận, trả hồ sơ, thu phí, lệ phí</t>
  </si>
  <si>
    <t>Trích lục từ hồ sơ địa chính số</t>
  </si>
  <si>
    <t>Trích sao từ hồ sơ địa chính giấy</t>
  </si>
  <si>
    <t>Trích sao thông tin địa chính</t>
  </si>
  <si>
    <t>3.1</t>
  </si>
  <si>
    <t>Trích sao từ hồ sơ địa chính số</t>
  </si>
  <si>
    <t>3.2</t>
  </si>
  <si>
    <t>GHI CHÚ</t>
  </si>
  <si>
    <t>VIII.4</t>
  </si>
  <si>
    <t>Thế chấp hoặc thay đổi nội dung thế chấp bằng quyền sử dụng đất, tài sản gắn liền với đất, thế chấp tài sản gắn liền với đất hình thành trong tương lai</t>
  </si>
  <si>
    <t>Xóa đăng ký thế chấp bằng quyền sử dụng đất, tài sản gắn liền với đất, thế chấp tài sản gắn liền với đất hình thành trong tương lai</t>
  </si>
  <si>
    <t>Thay đổi diện tích do sạt lở tự nhiên một phần thửa đất</t>
  </si>
  <si>
    <t>Thay đổi tên đơn vị hành chính, điều chỉnh địa giới hành chính theo quyết định của cơ quan nhà nước có thẩm quyền</t>
  </si>
  <si>
    <t>Cho thuê, cho thuê lại quyền sử dụng đất, tài sản gắn liền với đất</t>
  </si>
  <si>
    <t>Xóa đăng ký cho thuê, cho thuê lại đất tài sản gắn liền với đất</t>
  </si>
  <si>
    <t>Chuyển đổi quyền sử dụng đất</t>
  </si>
  <si>
    <t>Chuyển nhượng quyền sử dụng đất, quyền sở hữu tài sản gắn liền với đất</t>
  </si>
  <si>
    <t>Thừa kế quyền sử dụng đất, quyền sở hữu tài sản gắn liền với đất</t>
  </si>
  <si>
    <t>Tặng cho quyền sử dụng đất, quyền sở hữu tài sản gắn liền với đất</t>
  </si>
  <si>
    <t>Góp vốn bằng quyền sử dụng đất, tài sản gắn liền với đất</t>
  </si>
  <si>
    <t>Xóa đăng ký góp vốn bằng quyền sử dụng đất, tài sản gắn liền với đất</t>
  </si>
  <si>
    <t>Chuyển quyền sử dụng đất, tài sản gắn liền với đất theo thỏa thuận xử lý nợ thế chấp</t>
  </si>
  <si>
    <t>Chuyển quyền sử dụng đất, tài sản gắn liền với đất theo kết quả giải quyết tranh chấp đất đai</t>
  </si>
  <si>
    <t>Chuyển quyền sử dụng đất, tài sản gắn liền với đất theo quyết định giải quyết khiếu nại, tố cáo về đất đai</t>
  </si>
  <si>
    <t>Chuyển quyền sử dụng cả thửa đất, tài sản gắn liền với đất theo bản án, quyết định của tòa án, quyết định của cơ quan thi hành án</t>
  </si>
  <si>
    <t>18</t>
  </si>
  <si>
    <t>Chuyển quyền sử dụng đất, tài sản gắn liền với đất theo kết quả đấu giá đất</t>
  </si>
  <si>
    <t>19</t>
  </si>
  <si>
    <t>Người sử dụng đất, chủ sở hữu tài sản gắn liền với đất đổi tên, nhân thân hoặc địa chỉ</t>
  </si>
  <si>
    <t>20</t>
  </si>
  <si>
    <t>21</t>
  </si>
  <si>
    <t>Xác lập hoặc thay đổi, chấm dứt quyền sử dụng hạn chế thửa đất liền kề</t>
  </si>
  <si>
    <t>22</t>
  </si>
  <si>
    <t>Chuyển mục đích sử dụng toàn bộ thửa đất</t>
  </si>
  <si>
    <t>23</t>
  </si>
  <si>
    <t>Gia hạn sử dụng đất (kể cả trường hợp tiếp tục sử dụng đất nông nghiệp của hộ gia đình, cá nhân)</t>
  </si>
  <si>
    <t>24</t>
  </si>
  <si>
    <t>Chuyển từ hình thức thuê đất sang hình thức giao đất có thu tiền sử dụng đất hoặc chuyển từ hình thức thuê đất trả tiền hàng năm sang hình thức thuê đất trả tiền một lần hoặc chuyển từ hình thức Nhà nước giao đất không thu tiền sang hình thức giao đất có thu tiền hay thuê đất</t>
  </si>
  <si>
    <t>25</t>
  </si>
  <si>
    <t>Thay đổi thông tin về tài sản gắn liền với đất đã ghi trên GCN hoặc đã thể hiện trong cơ sở dữ liệu</t>
  </si>
  <si>
    <t>26</t>
  </si>
  <si>
    <t>Có thay đổi đối với những hạn chế về quyền sử dụng đất, tài sản gắn liền với đất</t>
  </si>
  <si>
    <t>27</t>
  </si>
  <si>
    <t>Phát hiện có sai sót, nhầm lẫn về nội dung thông tin trong hồ sơ địa chính và trên GCN</t>
  </si>
  <si>
    <t>28</t>
  </si>
  <si>
    <t>Thu hồi quyền sử dụng đất</t>
  </si>
  <si>
    <t>29</t>
  </si>
  <si>
    <t>Ghi nợ và xóa nợ về nghĩa vụ tài chính</t>
  </si>
  <si>
    <t>Loại biến động</t>
  </si>
  <si>
    <t>Thay đổi tên đơn vị hành chính, điều chỉnh địa giới hành chính theo quyết định của cơ quan nhà nước có thẩm quyền;</t>
  </si>
  <si>
    <t>Cho thuê, cho thuê lại quyền sử dụng đất (trừ trường hợp cho thuê, cho thuê lại quyền sử dụng đất trong khu công nghiệp, cụm công nghiệp, khu chế xuất, khu công nghệ cao, khu kinh tế), tài sản gắn liền với đất</t>
  </si>
  <si>
    <t>Trường hợp chuyển đổi công ty; chia, tách, hợp nhất, sáp nhập doanh nghiệp</t>
  </si>
  <si>
    <t>Người sử dụng đất, chủ sở hữu tài sản gắn liền với đất đổi tên, thay đổi thông tin về giấy tờ pháp nhân, nhân thân hoặc địa chỉ</t>
  </si>
  <si>
    <t>Chủ đầu tư xây dựng nhà chung cư bán căn hộ và làm thủ tục đăng ký biến động đợt đầu</t>
  </si>
  <si>
    <t>Gia hạn sử dụng đất</t>
  </si>
  <si>
    <t>Ghi chú:</t>
  </si>
  <si>
    <t>Trường hợp trích lục hồ sơ cho 01 khu đất (gồm nhiều thửa) mức áp dụng như sau:</t>
  </si>
  <si>
    <t>ĐỊNH BIÊN.LƯƠNG NGÀY THEO CÔNG VIỆC</t>
  </si>
  <si>
    <t>Công nhóm</t>
  </si>
  <si>
    <t>Lương nhóm</t>
  </si>
  <si>
    <t>T.số</t>
  </si>
  <si>
    <t>Bảng 6</t>
  </si>
  <si>
    <t>Bảng 7</t>
  </si>
  <si>
    <t>Bảng 8</t>
  </si>
  <si>
    <t>Bảng 9</t>
  </si>
  <si>
    <t>Bảng 10</t>
  </si>
  <si>
    <t>Bảng 11</t>
  </si>
  <si>
    <t>Bảng 12</t>
  </si>
  <si>
    <t>Bảng 13</t>
  </si>
  <si>
    <t>Bảng 14</t>
  </si>
  <si>
    <t>Lương
nhóm</t>
  </si>
  <si>
    <t>Ăn ca</t>
  </si>
  <si>
    <t>LĐKT</t>
  </si>
  <si>
    <t>0,3</t>
  </si>
  <si>
    <t>PCKV 0.1</t>
  </si>
  <si>
    <t>ĐM
Đất+TS</t>
  </si>
  <si>
    <t>ĐM
TS</t>
  </si>
  <si>
    <t>ĐM
Đất</t>
  </si>
  <si>
    <t>ĐVT: Đồng</t>
  </si>
  <si>
    <r>
      <t xml:space="preserve">Định mức </t>
    </r>
    <r>
      <rPr>
        <i/>
        <sz val="12"/>
        <color indexed="12"/>
        <rFont val="Times New Roman"/>
        <family val="1"/>
      </rPr>
      <t>(ca/hồ sơ)</t>
    </r>
  </si>
  <si>
    <t>Tại địa bàn xã, thị trấn</t>
  </si>
  <si>
    <t>Tại địa bàn cấp huyện</t>
  </si>
  <si>
    <t>Tại địa bàn cấp tỉnh</t>
  </si>
  <si>
    <t>Đồng hồ treo tường</t>
  </si>
  <si>
    <t>Cái</t>
  </si>
  <si>
    <t>Ghế tựa</t>
  </si>
  <si>
    <t>Tủ tài liệu</t>
  </si>
  <si>
    <t>Thước nhựa 30 cm</t>
  </si>
  <si>
    <t>Máy tính tay</t>
  </si>
  <si>
    <t>Bàn đục lỗ</t>
  </si>
  <si>
    <t>Bàn dập ghim bé</t>
  </si>
  <si>
    <t>Bàn dập ghim to</t>
  </si>
  <si>
    <t>Kéo cắt giấy</t>
  </si>
  <si>
    <t>Áo blu</t>
  </si>
  <si>
    <t>Đôi</t>
  </si>
  <si>
    <t>Cặp tài liệu (trình ký)</t>
  </si>
  <si>
    <t>Quạt trần 100W</t>
  </si>
  <si>
    <t>Đèn neon 40W</t>
  </si>
  <si>
    <t>Bộ</t>
  </si>
  <si>
    <t>kW</t>
  </si>
  <si>
    <t>GIÁ DỤNG CỤ</t>
  </si>
  <si>
    <t>Máy in laser A4</t>
  </si>
  <si>
    <t>Máy photocopy A0</t>
  </si>
  <si>
    <t>Máy in laser A3</t>
  </si>
  <si>
    <t>Máy SCAN A3</t>
  </si>
  <si>
    <t>GIÁ THIẾT BỊ</t>
  </si>
  <si>
    <t>GIÁ VẬT LIỆU</t>
  </si>
  <si>
    <t>Ghim vòng</t>
  </si>
  <si>
    <t>Hộp</t>
  </si>
  <si>
    <t>Ghim dập</t>
  </si>
  <si>
    <t>Mực in laser (A4)</t>
  </si>
  <si>
    <t>Mực máy photocopy A3</t>
  </si>
  <si>
    <t>Mực in laser (A3)</t>
  </si>
  <si>
    <t>Giấy A4</t>
  </si>
  <si>
    <t>Ram</t>
  </si>
  <si>
    <t>Giấy A3</t>
  </si>
  <si>
    <t>Chiếc</t>
  </si>
  <si>
    <t>Bút xóa</t>
  </si>
  <si>
    <t>Bút đánh dấu</t>
  </si>
  <si>
    <t>Bìa sổ A3</t>
  </si>
  <si>
    <t>Cặp</t>
  </si>
  <si>
    <t>Đĩa CD</t>
  </si>
  <si>
    <t>Đĩa</t>
  </si>
  <si>
    <t>Túi đựng hồ sơ</t>
  </si>
  <si>
    <t>Mực in cho máy Plotter</t>
  </si>
  <si>
    <t>Giấy in bản đồ Ao</t>
  </si>
  <si>
    <t>Mực photocoppy A0</t>
  </si>
  <si>
    <t>500 ca/năm</t>
  </si>
  <si>
    <t>Máy vi tính</t>
  </si>
  <si>
    <t>Điều hòa nhiệt độ</t>
  </si>
  <si>
    <t>Máy in phun A0</t>
  </si>
  <si>
    <t>ĐVT: đồng</t>
  </si>
  <si>
    <r>
      <t xml:space="preserve">Định mức </t>
    </r>
    <r>
      <rPr>
        <i/>
        <sz val="12"/>
        <color indexed="12"/>
        <rFont val="Times New Roman"/>
        <family val="1"/>
      </rPr>
      <t>(tính cho 1 hồ sơ</t>
    </r>
  </si>
  <si>
    <t>Nguyên
giá</t>
  </si>
  <si>
    <t>(1) Định mức vật liệu trên tính cho trường hợp đăng ký đất hoặc trường hợp đăng ký đồng thời cả đất và tài sản.</t>
  </si>
  <si>
    <t>(2) Định mức trên đây tính đối với việc đăng ký, cấp GCN về quyền sử dụng đất. Trường hợp đăng ký, cấp GCN đối với cả đất và tài sản gắn liền với đất thì định mức tính cho 1 hồ sơ đăng ký cả đất và tài sản bằng 1,6 lần định mức cho 1 hồ sơ đăng ký đối với đất. Trường hợp đăng ký riêng đối với tài sản thì định mức tính cho 1 hồ sơ đăng ký đối với tài sản bằng định mức cho 1 hồ sơ đăng ký đối với đất.</t>
  </si>
  <si>
    <t>KK4</t>
  </si>
  <si>
    <t>KK5</t>
  </si>
  <si>
    <t>(3) Trường hợp phải chuẩn bị hợp đồng cho thuê đất, mức dụng cụ tính bằng 0,003 mức dụng cụ thực hiện tại địa bàn cấp huyện.</t>
  </si>
  <si>
    <t>(4) Đối với phường xây dựng cơ sở dữ liệu địa chính thì trong công việc đăng ký, cấp GCN không được tính mức dụng cụ cho địa bàn cấp tỉnh quy định tại Bảng 68 và Bảng 69.</t>
  </si>
  <si>
    <t>(5) Trường hợp đăng ký nhưng không thuộc trường hợp phải cấp GCN thì được tính mức bằng 50% mức quy định tại Bảng 68 và Bảng 69.</t>
  </si>
  <si>
    <t>Trường hợp đăng ký nhưng không có nhu cầu cấp GCN hoặc không đủ điều kiện được cấp GCN thì được tính mức bằng 90% mức quy định tại Bảng 68 và Bảng 69.</t>
  </si>
  <si>
    <t>(6) Trường hợp nhiều thửa đất nông nghiệp được cấp chung trong một GCN thì ngoài mức được tính ở trên cứ mỗi thửa đất tăng thêm được tính thêm 0,30 lần định mức cho các nội dung thực hiện tại phường và các nội dung thực hiện tại địa bàn cấp huyện.</t>
  </si>
  <si>
    <t>(1) Mức dụng cụ được tính chung cho các loại khó khăn.</t>
  </si>
  <si>
    <t>(1) Định mức thiết bị được tính chung cho các loại khó khăn,</t>
  </si>
  <si>
    <t>Giấy làm bìa hồ sơ (A3)</t>
  </si>
  <si>
    <t xml:space="preserve">Ghi chú: </t>
  </si>
  <si>
    <t>(2) Định mức dụng cụ trên áp dụng cho trường hợp đăng ký đất hoặc trường hợp đăng ký tài sản; trường hợp đăng ký cả đất và tài sản thì mức dụng cụ được tính bằng hệ số là 1,3 mức dụng cụ của Bảng 75.</t>
  </si>
  <si>
    <t>Bảng 76</t>
  </si>
  <si>
    <t>(2) Định mức trên đây tính đối với việc đăng ký, cấp GCN về quyền sử dụng đất. Trường hợp đăng ký, cấp GCN đối với cả đất và tài sản gắn liền với đất thì định mức tính cho 1 hồ sơ đăng ký cả đất và tài sản bằng 1,3 lần định mức cho 1 hồ sơ đăng ký đối với đất. Trường hợp đăng ký riêng đối với tài sản thì định mức tính cho 1 hồ sơ đăng ký đối với tài sản bằng định mức cho 1 hồ sơ đăng ký đối với đất.</t>
  </si>
  <si>
    <t>(5) Trường hợp nhiều thửa đất nông nghiệp được cấp chung trong một GCN thì ngoài mức được tính ở trên cứ mỗi thửa đất tăng thêm được tính bằng 0,20 đối với các nội dung thực hiện tại địa bàn xã, thị trấn và 0,30 đối với các nội dung thực hiện tại địa bàn cấp huyện.</t>
  </si>
  <si>
    <t>(6) Trường hợp đăng ký nhưng không có nhu cầu đổi GCN hoặc không đủ điều kiện cấp đổi GCN thì được tính mức bằng 90% mức quy định tại Bảng 78 và Bảng 79.</t>
  </si>
  <si>
    <t>Máy photocopy A3</t>
  </si>
  <si>
    <t>Định mức
(ca/hồ sơ)</t>
  </si>
  <si>
    <t>Bảng 80</t>
  </si>
  <si>
    <t>Bảng 81</t>
  </si>
  <si>
    <t>Bảng 82</t>
  </si>
  <si>
    <t>(3) Trường hợp phải chuẩn bị Hợp đồng cho thuê đất, mức dụng cụ tính bằng 0,003 mức dụng cụ tại địa bàn cấp huyện.</t>
  </si>
  <si>
    <t>(4) Đối với phường xây dựng cơ sở dữ liệu địa chính thì trong công việc đăng ký, cấp đổi GCN không được tính mức dụng cụ tại địa bàn cấp tỉnh quy định tại Bảng 82 và Bảng 83.</t>
  </si>
  <si>
    <t>(5) Trường hợp nhiều thửa đất nông nghiệp được cấp chung trong một GCN thì ngoài mức được tính ở trên cứ mỗi thửa đất tăng thêm được tính thêm 0,20 lần định mức tại địa bàn cấp huyện.</t>
  </si>
  <si>
    <t>(6) Trường hợp đăng ký nhưng không có nhu cầu đổi GCN hoặc không đủ điều kiện cấp đổi GCN thì được tính mức bằng 90% mức quy định tại Bảng 82 và Bảng 83.</t>
  </si>
  <si>
    <t>Bảng 86</t>
  </si>
  <si>
    <t>Bảng 87</t>
  </si>
  <si>
    <t>(1) Mức thiết bị được tính chung cho các loại khó khăn.</t>
  </si>
  <si>
    <t>(2) Định mức dụng cụ trên áp dụng cho trường hợp đăng ký đất hoặc trường hợp đăng ký tài sản. Trường hợp đăng ký cả đất và tài sản thì mức dụng cụ được tính bằng hệ số là 1,3 mức dụng cụ của Bảng 89.</t>
  </si>
  <si>
    <t>Bảng 91</t>
  </si>
  <si>
    <t>(2) Định mức dụng cụ trên áp dụng cho trường hợp đăng ký đất hoặc trường hợp đăng ký tài sản; trường hợp đăng ký cả đất và tài sản thì mức dụng cụ được tính bằng hệ số là 1,3 mức dụng cụ của Bảng 92.</t>
  </si>
  <si>
    <t>(3) Trường hợp đăng ký biến động đất đai mà thực hiện cấp mới GCN thì áp dụng mức dụng cụ của Bảng 92. Trường hợp đăng ký biến động đất đai mà không thực hiện cấp mới GCN thì được tính bằng 0,6 lần mức dụng cụ của Bảng 92 trên.</t>
  </si>
  <si>
    <t>(1) Định mức vật liệu trên áp dụng cho các trường hợp đăng ký đất hoặc đăng ký tài sản hoặc đăng ký cả đất và tài sản.</t>
  </si>
  <si>
    <t>Hòm sắt đựng tài liệu</t>
  </si>
  <si>
    <t>Ống đựng bản đồ</t>
  </si>
  <si>
    <t>- Dưới 05 thửa: Mức cho một thửa tính bằng 0,80 mức quy định tại Bảng 98.</t>
  </si>
  <si>
    <t>- Từ 05 thửa đến 10 thửa: Mức cho một thửa tính bằng 0,65 mức quy định tại Bảng 98.</t>
  </si>
  <si>
    <t>- Trên 10 thửa: Mức cho một thửa tính bằng 0,50 mức quy định tại Bảng 98.</t>
  </si>
  <si>
    <t>Bảng 100</t>
  </si>
  <si>
    <t>- Dưới 05 thửa: Mức cho một thửa tính bằng 0,80 mức quy định tại Bảng 100.</t>
  </si>
  <si>
    <t>- Từ 05 thửa đến 10 thửa: Mức cho một thửa tính bằng 0,65 mức quy định tại Bảng 100.</t>
  </si>
  <si>
    <t>- Trên 10 thửa: Mức cho một thửa tính bằng 0,50 mức quy định tại Bảng 100./.</t>
  </si>
  <si>
    <t>Thành tiền
(hồ sơ)</t>
  </si>
  <si>
    <t>PCKV 0,1</t>
  </si>
  <si>
    <t>(hồ sơ)</t>
  </si>
  <si>
    <t>Thành tiền (hồ sơ)</t>
  </si>
  <si>
    <t>Chi phí
năng
lượng</t>
  </si>
  <si>
    <t>Chi phí
khấu
hao</t>
  </si>
  <si>
    <t>Hoàn thiện BĐĐC và Sổ mục kê đất đai theo kết quả đăng ký, cấp GCN (8000 hồ sơ/xã)</t>
  </si>
  <si>
    <t>Giấy CNQSDĐ</t>
  </si>
  <si>
    <t>Máy SCAN A0</t>
  </si>
  <si>
    <t>Bảng 64</t>
  </si>
  <si>
    <t>Bảng 68</t>
  </si>
  <si>
    <t>(1) Mức dụng cụ cho các loại khó khăn tính theo hệ số mức tại Bảng 69</t>
  </si>
  <si>
    <t>Bảng 70</t>
  </si>
  <si>
    <t>Bảng 73</t>
  </si>
  <si>
    <t>Bảng 74</t>
  </si>
  <si>
    <t>Bảng 77</t>
  </si>
  <si>
    <t>Bảng 67</t>
  </si>
  <si>
    <t>Loại
KK</t>
  </si>
  <si>
    <t>lưu động</t>
  </si>
  <si>
    <t>Sao Sổ địa chính, Sổ mục kê (8000 hồ sơ/xã, 3 bộ)</t>
  </si>
  <si>
    <t>Tổng
số</t>
  </si>
  <si>
    <t>1KS2, 1KTV4</t>
  </si>
  <si>
    <t>1KS3, 1KS2, 1KTV4</t>
  </si>
  <si>
    <t xml:space="preserve">1KS2, 1KTV4 </t>
  </si>
  <si>
    <t>1KS3, 1KS2</t>
  </si>
  <si>
    <t>1KS2,1KTV4</t>
  </si>
  <si>
    <t>Công
nhóm</t>
  </si>
  <si>
    <t>Trang</t>
  </si>
  <si>
    <t>Đất + TS</t>
  </si>
  <si>
    <t>(1) Mức dụng cụ cho các loại khó khăn tính theo hệ số mức trong Bảng 83</t>
  </si>
  <si>
    <t>Phường</t>
  </si>
  <si>
    <t>Huyện</t>
  </si>
  <si>
    <t>Tỉnh</t>
  </si>
  <si>
    <t>PHỤ LỤC 1: ĐƠN GIÁ DỤNG CỤ, VẬT LIỆU THIẾT BỊ ĐĂNG KÝ, CẤP GIẤY CHỨNG NHẬN</t>
  </si>
  <si>
    <t>PHỤ LỤC 4: CHI PHÍ CÔNG CỤ, DỤNG CỤ ĐĂNG KÝ, CẤP GIẤY CHỨNG NHẬN</t>
  </si>
  <si>
    <t>PHỤ LỤC 5: CHI PHÍ KHẤU HAO MÁY VÀ THIẾT BỊ ĐĂNG KÝ, CẤP GIẤY CHỨNG NHẬN</t>
  </si>
  <si>
    <t>PHỤ LỤC 6: CHI PHÍ VẬT LIỆU ĐĂNG KÝ, CẤP GIẤY CHỨNG NHẬN</t>
  </si>
  <si>
    <t>0.3</t>
  </si>
  <si>
    <t>Lương phụ 11%</t>
  </si>
  <si>
    <t>Cộng</t>
  </si>
  <si>
    <t>Số hồ sơ/xã=8000 hs; Số hồ sơ/xã=5000 hs; Số điểm đăng ký/xã, phường=10; Số tờ bản đồ/xã, phường=60 tờ.</t>
  </si>
  <si>
    <t>Vùng I</t>
  </si>
  <si>
    <t>Vùng II</t>
  </si>
  <si>
    <t>Vùng III</t>
  </si>
  <si>
    <t>Mức tính</t>
  </si>
  <si>
    <t>Vùng IV</t>
  </si>
  <si>
    <t>Nhận lại hồ sơ và Quyết định hình thức sử dụng đất từ Ủy ban nhân dân tỉnh</t>
  </si>
  <si>
    <t>Khai thác, sử dụng thông tin về tình trạng hôn nhân trong Cơ sở dữ liệu quốc gia về dân cư hoặc thông báo cho người sử dụng đất, chủ sở hữu tài sản gắn liền với đất nộp bản sao giấy đăng ký kết hôn hoặc giấy tờ khác về tình trạng hôn nhân</t>
  </si>
  <si>
    <t>Kiểm tra thực địa và đối chiếu với hồ sơ đăng ký, cấp Giấy chứng nhận đã cấp để xác định đúng vị trí thửa đất (đối với trường hợp vị trí thửa đất trên Giấy chứng nhận đã cấp không chính xác so với vị trí thực tế sử dụng đất)</t>
  </si>
  <si>
    <t>Nhóm 2 (1KS2, 1KTV4)</t>
  </si>
  <si>
    <t>Chuyển hồ sơ đến Văn phòng đăng ký đất đai</t>
  </si>
  <si>
    <t>Thông báo, trả lại hồ sơ cho người sử dụng đất, chủ sở hữu tài sản gắn liền với đất đối với trường hợp không đủ điều kiện thực hiện thủ tục đăng ký</t>
  </si>
  <si>
    <t>Lập và gửi Phiếu chuyển thông tin để xác định nghĩa vụ tài chính về đất đai (nếu có)</t>
  </si>
  <si>
    <t>Chuyển thông tin theo hình thức liên thông</t>
  </si>
  <si>
    <t>Chuyển thông tin theo hình thức trực tiếp</t>
  </si>
  <si>
    <t>Nhận thông báo của cơ quan thuế về việc hoàn thành nghĩa vụ tài chính</t>
  </si>
  <si>
    <t>Lập biên bản kết thúc niêm yết và gửi đến Văn phòng đăng ký đất đai</t>
  </si>
  <si>
    <t>Nhóm 2 (1KS3, 1KS2)</t>
  </si>
  <si>
    <t>Thông báo việc đăng tin 03 lần trên phương tiện thông tin đại chúng ở địa phương trong thời gian 15 ngày về việc mất Giấy chứng nhận đã cấp</t>
  </si>
  <si>
    <t>Thông báo bằng văn bản cho bên chuyển quyền hoặc thực hiện đăng tin 03 lần trên phương tiện thông tin đại chúng ở địa phương đối với trường hợp cấp Giấy chứng nhận diện tích tăng thêm hoặc thông báo cho người sử dụng đất về hủy kết quả đăng ký</t>
  </si>
  <si>
    <t>Thông báo cho chủ đầu tư cung cấp các giấy tờ quy định</t>
  </si>
  <si>
    <t>Hướng dẫn các bên nộp đơn đến cơ quan nhà nước có thẩm quyền giải quyết tranh chấp theo quy định</t>
  </si>
  <si>
    <t>Kiểm tra hồ sơ cấp Giấy chứng nhận trước đây, trình cơ quan có thẩm quyền xác định lại diện tích đất ở hoặc trình cơ quan có thẩm quyền  ký, ban hành quyết định cho phép chuyển mục đích sử dụng đất hoặc lập biên bản kết luận về nội dung và nguyên nhân sai sót hoặc trình, quyết định thu hồi Giấy chứng nhận</t>
  </si>
  <si>
    <t>Thông báo cho người có quyền và nghĩa vụ liên quan theo quy định của pháp luật dân sự nộp giấy tờ chứng minh để tiếp tục thực hiện thủ tục đối với trường hợp người sử dụng đất, chủ sở hữu tài sản gắn liền với đất không tiếp tục thực hiện thủ tục</t>
  </si>
  <si>
    <t>Thu hồi Giấy chứng nhận đã cấp của bên thuê, bên thuê lại đất đối với trường hợp xóa cho thuê, cho thuê lại đất</t>
  </si>
  <si>
    <t>Niêm yết tại trụ sở Ủy ban nhân dân cấp xã nơi có đất về việc làm thủ tục cấp Giấy chứng nhận cho người nhận chuyển quyền</t>
  </si>
  <si>
    <t>Xác nhận hiện trạng sử dụng đất, tình trạng tranh chấp đất đai, tài sản gắn liền với đất, xác nhận đất sử dụng ổn định, xác nhận nguồn gốc sử dụng đất, xác nhận sự phù hợp với quy hoạch</t>
  </si>
  <si>
    <t>Chuyển Văn phòng đăng ký đất đai, Chi nhánh Văn phòng đăng ký đất đai văn bản về xác nhận về tình trạng sạt lở tự nhiên hoặc văn bản về việc tặng cho quyền sử dụng đất</t>
  </si>
  <si>
    <t>Thông báo bằng văn bản cho bên chuyển quyền hoặc thực hiện đăng tin 03 lần trên phương tiện thông tin đại chúng ở địa phương đối với trường hợp cấp Giấy chứng nhận diện tích tăng thêm</t>
  </si>
  <si>
    <t>Kiểm tra hồ sơ cấp Giấy chứng nhận trước đây, trình cơ quan có thẩm quyền ký, ban hành quyết định cho phép chuyển mục đích sử dụng đất hoặc lập biên bản kết luận về nội dung và nguyên nhân sai sót hoặc trình, quyết định thu hồi Giấy chứng nhận</t>
  </si>
  <si>
    <t>Nhận các ý kiến phản ánh; Xem xét giải quyết các ý kiến phản ánh về nội dung đã công khai</t>
  </si>
  <si>
    <t>Kiểm tra việc đủ điều kiện hay không đủ điều kiện được cấp Giấy chứng nhận</t>
  </si>
  <si>
    <t>Nhận lại hồ sơ, GCN, hợp đồng thuê đất; lập và sao sổ cấp Giấy chứng nhận</t>
  </si>
  <si>
    <t>Thông báo danh sách các trường hợp làm thủ tục cấp Giấy chứng nhận cho bên nhận thế chấp; xác nhận việc đăng ký thế chấp vào GCN sau khi được cơ quan có thẩm quyền ký cấp đổi</t>
  </si>
  <si>
    <t>Trích sao số liệu địa chính, quyết định hủy GCN bị mất, cấp đổi, cấp lại GCN, lập sổ theo dõi hồ sơ</t>
  </si>
  <si>
    <t>Thông báo danh sách các trường hợp làm thủ tục cấp đổi GCN cho bên nhận thế chấp quyền sử dụng đất, tài sản gắn liền với đất; xác nhận việc đăng ký thế chấp vào GCN sau khi được cơ quan có thẩm quyền ký cấp đổi</t>
  </si>
  <si>
    <t>Trích lục bản đồ địa chính hoặc trích đo bản đồ địa chính thửa đất đối với nơi chưa có bản đồ địa chính</t>
  </si>
  <si>
    <t>Xác nhận nội dung biến động trên GCN hoặc cấp GCN mới</t>
  </si>
  <si>
    <t>Nhận, kiểm tra tính đầy đủ của thành phần hồ sơ, tính thống nhất về nội dung thông tin giữa các giấy tờ, tính đầy đủ của nội dung kê khai và cấp Giấy tiếp nhận hồ sơ và hẹn trả kết quả hoặc trả lại hồ sơ, vào sổ theo dõi nhận, trả hồ sơ (theo hình thức trực tiếp, trực tuyến)</t>
  </si>
  <si>
    <t>Trích lục bản đồ địa chính đối với nơi đã có bản đồ địa chính</t>
  </si>
  <si>
    <t xml:space="preserve">Nhập thông tin về nghĩa vụ tài chính, đăng ký vào hồ sơ địa chính </t>
  </si>
  <si>
    <t>18.1</t>
  </si>
  <si>
    <t>18.2</t>
  </si>
  <si>
    <t>Lập, cập nhật hoàn thiện Sổ địa chính điện tử</t>
  </si>
  <si>
    <t>Sao, in ấn hồ sơ địa chính để cung cấp cho cấp xã quản lý và khai thác sử dụng</t>
  </si>
  <si>
    <t>Sao Sổ địa chính, Sổ mục kê đất đai</t>
  </si>
  <si>
    <t>16.1</t>
  </si>
  <si>
    <t>16.2</t>
  </si>
  <si>
    <t>Trích lục bản đồ địa chính hoặc thông báo cho người sử dụng đất trả chi phí trích đo bản đồ địa chính thửa đất đối với nơi chưa có bản đồ địa chính</t>
  </si>
  <si>
    <t>Kiểm tra hồ sơ đề nghị đăng ký, cấp đổi, cấp lại Giấy chứng nhận</t>
  </si>
  <si>
    <t>Kiểm tra các điều kiện thực hiện quyền theo quy định của Luật Đất đai đối với trường hợp thực hiện quyền của người sử dụng đất, của chủ sở hữu tài sản gắn liền với đất. Trường hợp không đủ điều kiện thực hiện quyền theo quy định của Luật Đất đai hoặc nhận được một trong các văn bản của cơ quan có thẩm quyền về việc dừng giải quyết thủ tục thì thông báo lý do và trả hồ sơ.</t>
  </si>
  <si>
    <t>22.1</t>
  </si>
  <si>
    <t>22.2</t>
  </si>
  <si>
    <t>30</t>
  </si>
  <si>
    <t>31</t>
  </si>
  <si>
    <t>Xác nhận hiện trạng sử dụng đất có hay không có nhà ở, công trình xây dựng; tình trạng tranh chấp đất đai, tài sản gắn liền với đất; xác định đất sử dụng ổn định; xác định nguồn gốc sử dụng đất; xác nhận sự phù hợp với quy hoạch</t>
  </si>
  <si>
    <t xml:space="preserve">Kiểm tra thực tế sử dụng đất của tổ chức, xác định ranh giới cụ thể của thửa đất đối với tổ chức </t>
  </si>
  <si>
    <t>Lập biên bản kiểm tra việc sử dụng đất, ranh giới sử dụng đất của tổ chức</t>
  </si>
  <si>
    <t>Lập Tờ trình trình Chủ tịch UBND phường</t>
  </si>
  <si>
    <t>Quyết định hình thức sử dụng đất đối với tổ chức</t>
  </si>
  <si>
    <t>Ban hành Thông báo xác nhận kết quả đăng ký đất đai đối với trường hợp không có nhu cầu hoặc không đủ điều kiện cấp Giấy chứng nhận</t>
  </si>
  <si>
    <t>Chuyển Thông báo xác nhận kết quả đăng ký đất đai đến Bộ phận một cửa hoặc chuyển Giấy chứng nhận thông qua dịch vụ bưu chính công ích để trao cho người sử dụng đất.</t>
  </si>
  <si>
    <t>Lập, gửi Phiếu chuyển thông tin xác định nghĩa vụ tài chính đối với trường hợp có nhu cầu cấp Giấy chứng nhận và đủ điều kiện</t>
  </si>
  <si>
    <t>Nhận thông báo hoàn thành nghĩa vụ tài chính từ cơ quan thuế hoặc được ghi nợ nghĩa vụ tài chính</t>
  </si>
  <si>
    <t>Cấp Giấy chứng nhận</t>
  </si>
  <si>
    <t>Nhập bổ sung thông tin dữ liệu về Giấy chứng nhận đã cấp</t>
  </si>
  <si>
    <t>Chuyển Giấy chứng nhận đến Bộ phận một cửa để trao cho người sử dụng đất hoặc chuyển Giấy chứng nhận cho người sử dụng đất thông qua dịch vụ bưu chính công ích</t>
  </si>
  <si>
    <t>Chuyển hồ sơ kèm theo bản sao Giấy chứng nhận đã cấp đến Văn phòng đăng ký đất đai để cập nhật, chỉnh lý hồ sơ địa chính, cơ sở dữ liệu đất đai.</t>
  </si>
  <si>
    <t>Nhận hồ sơ địa chính từ cấp tỉnh gửi về (01 bộ)</t>
  </si>
  <si>
    <t>II.1</t>
  </si>
  <si>
    <t>Lập Tờ trình trình Chủ tịch UBND cấp xã</t>
  </si>
  <si>
    <t>Chuyển Thông báo xác nhận kết quả đăng ký đất đai đến Bộ phận một cửa hoặc chuyển Giấy chứng nhận thông qua dịch vụ bưu chính công ích để trao cho người sử dụng đất</t>
  </si>
  <si>
    <t xml:space="preserve">Trực tiếp từ cơ sở dữ liệu dạng số </t>
  </si>
  <si>
    <t>Quét bổ sung các giấy tờ trong hồ sơ đăng ký đất đai</t>
  </si>
  <si>
    <t>II.2</t>
  </si>
  <si>
    <t>Chuyển toàn bộ hồ sơ đến cơ quan có chức năng quản lý đất đai cấp tỉnh</t>
  </si>
  <si>
    <t>Lập Tờ trình kèm theo hồ sơ và dự thảo Quyết định về hình thức sử dụng đất trình Chủ tịch Ủy ban nhân dân tỉnh</t>
  </si>
  <si>
    <t>Quyết định hình thức sử dụng đất</t>
  </si>
  <si>
    <t>Xác định giá đất, lập và gửi Phiếu chuyển thông tin để xác định nghĩa vụ tài chính về đất đai sang cơ quan thuế</t>
  </si>
  <si>
    <t>Nhận thông báo hoàn thành nghĩa vụ tài chính từ cơ quan thuế</t>
  </si>
  <si>
    <t>Lập hồ sơ trình ký Giấy chứng nhận</t>
  </si>
  <si>
    <t>Quét giấy tờ bổ sung</t>
  </si>
  <si>
    <t>Cập nhật bổ sung việc cấp GCN vào hồ sơ địa chính, cơ sở dữ liệu đất đai và gửi nội dung cập nhật hồ sơ địa chính về cấp xã, phường</t>
  </si>
  <si>
    <t>IV</t>
  </si>
  <si>
    <t>Kiểm tra hồ sơ đề nghị đăng ký</t>
  </si>
  <si>
    <t xml:space="preserve">Nhập thông tin thửa đất, tài sản gắn liền với đất, đăng ký vào hồ sơ địa chính, cơ sở dữ liệu đất đai    </t>
  </si>
  <si>
    <t>Nhận lại hồ sơ, GCN, hợp đồng thuê đất (nếu có); lập và sao sổ cấp GCN;  quét (sao) GCN để lưu</t>
  </si>
  <si>
    <t>Văn phòng đăng ký đất đai nhận lại Giấy chứng nhận cũ đang thế chấp từ tổ chức tín dụng và trao Giấy chứng nhận mới</t>
  </si>
  <si>
    <t>19.1</t>
  </si>
  <si>
    <t>19.2</t>
  </si>
  <si>
    <t>7.1.1</t>
  </si>
  <si>
    <t>7.1.2</t>
  </si>
  <si>
    <t>Trường hợp cấp đổi Giấy chứng nhận</t>
  </si>
  <si>
    <t>Trường hợp cấp lại Giấy chứng nhận</t>
  </si>
  <si>
    <t>7.2.1</t>
  </si>
  <si>
    <t>7.2.2</t>
  </si>
  <si>
    <t>Đăng tin 03 lần trên phương tiện thông tin đại chúng ở địa phương trong thời gian 15 ngày về việc mất Giấy chứng nhận đã cấp đối với người gốc Việt Nam định cư ở nước ngoài, chi phí đăng tin do người sử dụng đất, chủ sở hữu tài sản gắn liền với đất chi trả</t>
  </si>
  <si>
    <t>Thông báo danh sách các trường hợp làm thủ tục cấp đổi, cấp lại Giấy chứng nhận cho bên nhận thế chấp quyền sử dụng đất, tài sản gắn liền với đất; xác nhận việc đăng ký thế chấp vào GCN sau khi được cơ quan có thẩm quyền ký cấp đổi, cấp lại</t>
  </si>
  <si>
    <t>Chuyển Giấy chứng nhận đến Bộ phận một cửa để trao cho người sử dụng đất hoặc chuyển Giấy chứng nhận cho người sử dụng đất thông qua dịch vụ bưu chính công ích hoặc Văn phòng đăng ký đất đai nhận lại GCN cũ đang thế chấp từ tổ chức tín dụng và trao GCN mới</t>
  </si>
  <si>
    <t>VI.1</t>
  </si>
  <si>
    <t>9.1</t>
  </si>
  <si>
    <t>9.2</t>
  </si>
  <si>
    <t>VI.2</t>
  </si>
  <si>
    <t>VI.3</t>
  </si>
  <si>
    <t>Kiểm tra các điều kiện thực hiện quyền theo quy định của Luật Đất đai đối với trường hợp thực hiện quyền của người sử dụng đất, của chủ sở hữu tài sản gắn liền với đất. Trường hợp không đủ điều kiện thực hiện quyền theo quy định của Luật Đất đai hoặc nhận được một trong các văn bản của cơ quan có thẩm quyền về việc dừng giải quyết thủ tục thì thông báo lý do và trả hồ sơ</t>
  </si>
  <si>
    <t>Thông báo bằng văn bản cho cơ quan thuế về việc chấm dứt quyền và nghĩa vụ của bên chuyển quyền sử dụng đất, quyền sở hữu tài sản gắn liền với đất trong hợp đồng thuê đất</t>
  </si>
  <si>
    <t>Nhập nội dung xác nhận vào tệp (File) dữ liệu hồ sơ số</t>
  </si>
  <si>
    <t>Nhập thông tin vào Sổ cấp giấy; gửi thông báo biến động cho cấp tỉnh, xã</t>
  </si>
  <si>
    <t>27.1</t>
  </si>
  <si>
    <t>27.2</t>
  </si>
  <si>
    <t>Nhập thông tin vào Sổ cấp giấy; gửi thông báo biến động cho cấp xã</t>
  </si>
  <si>
    <t>Địa bàn cấp xã (đối với những nơi chưa xây dựng CSDL) nhận thông báo, cập nhật HSĐC</t>
  </si>
  <si>
    <t>IX</t>
  </si>
  <si>
    <t>ĐĂNG KÝ ĐẤT ĐAI, TÀI SẢN GẮN LIỀN VỚI ĐẤT; LẬP, CHỈNH LÝ, CẬP NHẬP HỒ SƠ ĐỊA CHÍNH; CẤP GIẤY CHỨNG NHẬN QUYỀN SỬ DỤNG ĐẤT, QUYỀN SỞ HỮU TÀI SẢN GẮN LIỀN VỚI ĐẤT</t>
  </si>
  <si>
    <t>II.3</t>
  </si>
  <si>
    <t>I.2</t>
  </si>
  <si>
    <t>Nhận, kiểm tra tính đầy đủ của thành phần hồ sơ và cấp Giấy tiếp nhận hồ sơ và hẹn trả kết quả hoặc trả lại hồ sơ, vào sổ theo dõi nhận, trả hồ sơ (theo hình thức trực tiếp, trực tuyến)</t>
  </si>
  <si>
    <t xml:space="preserve"> </t>
  </si>
  <si>
    <t>Trích lục bản đồ địa chính đối với nơi đã có bản đồ địa chính hoặc trích đo bản đồ địa chính</t>
  </si>
  <si>
    <t>V.3</t>
  </si>
  <si>
    <t>Trường hợp cấp đổi Giấy chứng nhận:</t>
  </si>
  <si>
    <t>Trích lục bản đồ địa chính hoặc trích đo bản đồ địa chính</t>
  </si>
  <si>
    <t>- Dưới 05 thửa: Mức cho một thửa tính bằng 0,80 mức quy định tại Bảng 14;</t>
  </si>
  <si>
    <t>- Từ 05 thửa đến 10 thửa: Mức cho một thửa tính bằng 0,65 mức quy định tại Bảng 14;</t>
  </si>
  <si>
    <t>- Trên 10 thửa: Mức cho một thửa tính bằng 0,50 mức quy định tại Bảng 14.</t>
  </si>
  <si>
    <t>Chuẩn bị địa điểm đăng ký</t>
  </si>
  <si>
    <t xml:space="preserve">Chuẩn bị các tài liệu, bản đồ, mẫu đơn đề nghị đăng ký, cấp GCN, danh sách các trường hợp sử dụng đất theo địa điểm (theo xã, thị trấn) </t>
  </si>
  <si>
    <t>Tổ chức phổ biến, tuyên truyền chủ trương, chính sách về đăng ký, cấp GCN</t>
  </si>
  <si>
    <t>(1) Định mức trên đây tính cho các công việc đăng ký, cấp GCN đối với quyền sử dụng đất. Trường hợp đăng ký, cấp GCN đối với cả đất và tài sản gắn liền với đất thì định mức tính cho 1 hồ sơ đăng ký cả đất và tài sản bằng 1,6 lần định mức lao động cho 1 hồ sơ đăng ký đối với đất quy định tại Bảng này</t>
  </si>
  <si>
    <t>Bảng 60</t>
  </si>
  <si>
    <t>(1) Mức dụng cụ cho các loại khó khăn tính theo hệ số mức tại Bảng  61</t>
  </si>
  <si>
    <t>Tại địa bàn xã, phường,đặc khu</t>
  </si>
  <si>
    <t>(5) Trường hợp đăng ký nhưng không thuộc trường hợp phải cấp GCN thì được tính mức bằng 50% mức quy định tại Bảng 60 và Bảng 61.</t>
  </si>
  <si>
    <t>Trường hợp đăng ký nhưng không có nhu cầu cấp GCN hoặc không đủ điều kiện được cấp GCN thì được tính mức bằng 90% mức quy định tại Bảng 60 và Bảng 61.</t>
  </si>
  <si>
    <t>KK1-3</t>
  </si>
  <si>
    <t>PHỤ LỤC 4: CHI PHÍ NHÂN CÔNG</t>
  </si>
  <si>
    <t>(1) Mức dụng cụ cho các loại khó khăn tính theo hệ số mức trong Bảng 71:</t>
  </si>
  <si>
    <t>(4) Đối với xã, phường,đặc khu xây dựng cơ sở dữ liệu địa chính thì trong công việc đăng ký, cấp đổi GCN không được tính mức dụng cụ tại địa bàn cấp tỉnh quy định tại Bảng 70 và Bảng 71.</t>
  </si>
  <si>
    <t>(3) Trường hợp phải chuẩn bị Hợp đồng cho thuê đất, mức dụng cụ tính bằng 0,003 mức dụng cụ tại địa bàn cấp huyện (mức này được áp dụng chung cho các trường hợp lập hợp đồng cho thuê đất).</t>
  </si>
  <si>
    <t>(2) Định mức dụng cụ trên áp dụng cho trường hợp đăng ký đất hoặc trường hợp đăng ký tài sản. Trường hợp đăng ký cả đất và tài sản thì mức dụng cụ được tính bằng hệ số là 1,3 mức dụng cụ của Bảng 74.</t>
  </si>
  <si>
    <t>Bảng 83</t>
  </si>
  <si>
    <t>(2) Định mức dụng cụ trên áp dụng cho trường hợp đăng ký đất hoặc trường hợp đăng ký tài sản; trường hợp đăng ký cả đất và tài sản thì mức dụng cụ được tính bằng hệ số là 1,3 mức dụng cụ của Bảng 83.</t>
  </si>
  <si>
    <t>(3) Trường hợp đăng ký biến động đất đai mà thực hiện cấp mới GCN thì áp dụng mức dụng cụ của Bảng 83. Trường hợp đăng ký biến động đất đai mà không thực hiện cấp mới GCN thì được tính bằng 0,6 lần mức dụng cụ của Bảng 83 trên.</t>
  </si>
  <si>
    <t>PHỤ LỤC 2: BẢNG TÍNH GIÁ TIỀN CÔNG LAO ĐỘNG</t>
  </si>
  <si>
    <t>Bảng 62</t>
  </si>
  <si>
    <t>(1) Định mức trên đây tính đối với việc đăng ký, cấp GCN về quyền sử dụng đất. Trường hợp đăng ký, cấp GCN đối với cả đất và tài sản gắn liền với đất thì định mức tính cho 1 hồ sơ đăng ký cả đất và tài sản bằng 1,6 lần định mức cho 1 hồ sơ đăng ký đối với đất. Trường hợp đăng ký riêng đối với tài sản thì định mức tính cho 1 hồ sơ đăng ký đối với tài sản bằng định mức cho 1 hồ sơ đăng ký đối với đất.</t>
  </si>
  <si>
    <t>3) Trường hợp đăng ký nhưng không thuộc trường hợp phải cấp GCN thì được tính mức bằng 50% mức quy định tại Bảng 62.</t>
  </si>
  <si>
    <t>Trường hợp đăng ký nhưng không có nhu cầu cấp GCN hoặc không đủ điều kiện được cấp GCN thì được tính mức bằng 90% mức quy định tại Bảng 62.</t>
  </si>
  <si>
    <t>Tủ đựng tài liệu</t>
  </si>
  <si>
    <t>Giá để tài liệu</t>
  </si>
  <si>
    <t>Chuột máy tính</t>
  </si>
  <si>
    <t>Mũ cứng</t>
  </si>
  <si>
    <t>Ba lô</t>
  </si>
  <si>
    <t>Quần áo bảo hộ lao động</t>
  </si>
  <si>
    <t>Áo mưa bạt</t>
  </si>
  <si>
    <t>Bộ đồ nề</t>
  </si>
  <si>
    <t>Cuốc bàn</t>
  </si>
  <si>
    <t>Hòm đựng dụng cụ</t>
  </si>
  <si>
    <t>Nilon gói tài liệu</t>
  </si>
  <si>
    <t>Tấm</t>
  </si>
  <si>
    <t>Ống nhòm</t>
  </si>
  <si>
    <t>Thước thép cuộn 2m</t>
  </si>
  <si>
    <t>Xẻng</t>
  </si>
  <si>
    <t>Xô tôn đựng nước</t>
  </si>
  <si>
    <t>Găng tay bạt</t>
  </si>
  <si>
    <t>Nilon che máy 5m</t>
  </si>
  <si>
    <t>Ô che máy</t>
  </si>
  <si>
    <t>Túi đựng tài liệu</t>
  </si>
  <si>
    <t>Đèn điện 100W</t>
  </si>
  <si>
    <t>Búa đóng cọc</t>
  </si>
  <si>
    <t>Cờ hiệu nhỏ</t>
  </si>
  <si>
    <t>Thước thép 30m</t>
  </si>
  <si>
    <t>Kẹp sắt</t>
  </si>
  <si>
    <t>Gương đo đạc</t>
  </si>
  <si>
    <t>Kẹp giấy loại nhỏ</t>
  </si>
  <si>
    <t>Lưu điện 600W</t>
  </si>
  <si>
    <t>Máy quét</t>
  </si>
  <si>
    <t>Máy chủ Netserver</t>
  </si>
  <si>
    <t>Thiết bị nối mạng</t>
  </si>
  <si>
    <t>Máy GPS</t>
  </si>
  <si>
    <t>Sổ điện tử</t>
  </si>
  <si>
    <t>Cuộn</t>
  </si>
  <si>
    <t>Băng dính loại vừa</t>
  </si>
  <si>
    <t>Sơn đỏ</t>
  </si>
  <si>
    <t>Kg</t>
  </si>
  <si>
    <t>Xi măng</t>
  </si>
  <si>
    <t>Cát</t>
  </si>
  <si>
    <t>Đá dăm</t>
  </si>
  <si>
    <t>Đinh</t>
  </si>
  <si>
    <t>Bìa đóng sổ</t>
  </si>
  <si>
    <t>Băng dính phim</t>
  </si>
  <si>
    <t>Đĩa DVD</t>
  </si>
  <si>
    <t>Bút dạ màu</t>
  </si>
  <si>
    <t>Mực in A3</t>
  </si>
  <si>
    <t>Mực in A4</t>
  </si>
  <si>
    <t>USB flash</t>
  </si>
  <si>
    <t>Sổ ghi chép</t>
  </si>
  <si>
    <t>Tẩy chì</t>
  </si>
  <si>
    <t>Bộ khắc chữ</t>
  </si>
  <si>
    <t>Điện</t>
  </si>
  <si>
    <t>PHẦN II: CHI TIẾT ĐƠN GIÁ SẢN PHẨM ĐĂNG KÝ, CẤP GIẤY CHỨNG NHẬN</t>
  </si>
  <si>
    <t xml:space="preserve">CÁC NỘI DUNG THỰC HIỆN TẠI ĐỊA BÀN XÃ, PHƯỜNG, </t>
  </si>
  <si>
    <t>Chuẩn bị các tài liệu, bản đồ, mẫu đơn đề nghị đăng ký, cấp GCN, danh sách các trường hợp sử dụng đất theo địa điểm (theo xã, phường, )</t>
  </si>
  <si>
    <t>Niêm yết công khai các nội dung xác nhận tại trụ sở Ủy ban nhân dân cấp xã,phường,, khu dân cư nơi có đất</t>
  </si>
  <si>
    <t xml:space="preserve">Bộ/xã, phường, </t>
  </si>
  <si>
    <t xml:space="preserve">CÁC NỘI DUNG THỰC HIỆN TẠI ĐỊA BÀN CẤP XÃ, PHƯỜNG, </t>
  </si>
  <si>
    <t xml:space="preserve">Bộ/xã , phường, </t>
  </si>
  <si>
    <t>Chuyển thông tin đến Ủy ban nhân dân cấp xã, phường, nơi có đất để thực hiện các công việc đối với trường hợp cấp lại Giấy chứng nhận do bị mất</t>
  </si>
  <si>
    <t>Niêm yết công khai về việc mất Giấy chứng nhận đã cấp tại trụ sở Ủy ban nhân dân cấp xã, phường, và điểm dân cư nơi có đất; đồng thời tiếp nhận phản ánh trong thời gian niêm yết công khai về việc mất Giấy chứng nhận đã cấp</t>
  </si>
  <si>
    <t>Nhập nội dung của cấp xã,phường, vào tệp (File) dữ liệu hồ sơ số</t>
  </si>
  <si>
    <t>Cập nhật chỉnh lý HSĐC, thu phí, lệ phí, nộp kho bạc; gửi thông báo biến động cho cấp xã,phường,</t>
  </si>
  <si>
    <t>UBND xã,phường, nhận thông báo biến động, chỉnh lý vào HSĐC</t>
  </si>
  <si>
    <t>Niêm yết tại trụ sở Ủy ban nhân dân cấp xã,phường, nơi có đất về việc làm thủ tục cấp Giấy chứng nhận cho người nhận chuyển quyền</t>
  </si>
  <si>
    <t>CÁC NỘI DUNG THỰC HIỆN TẠI ĐỊA BÀN XÃ, PHƯỜNG,</t>
  </si>
  <si>
    <t xml:space="preserve">Tại địa bàn xã, phường, </t>
  </si>
  <si>
    <t>(2) Trường hợp nhiều thửa đất nông nghiệp lập chung trong 1 hồ sơ và cấp chung trong một GCN thì ngoài mức được tính ở trên, mỗi thửa đất tăng thêm được tính mức bằng 0,30 lần định mức quy định đối với Mục 2, 3, 4, 5, 6, 7, 10, 11, 12, 13, 15, 16, 17, 18, 19, 20, 21, 24, 25, 26, 27 và 30 các nội dung thực hiện tại địa bàn xã, phường; Mục 1, 2 các nội dung thực hiện tại cấp tỉnh của Bảng này.</t>
  </si>
  <si>
    <t>Bàn giao HSĐC cho cấp xã để quản lý và khai thác sử dụng</t>
  </si>
  <si>
    <t xml:space="preserve">Chuẩn bị địa điểm đăng ký </t>
  </si>
  <si>
    <t>Chuẩn bị các tài liệu, bản đồ, mẫu đơn đề nghị đăng ký, cấp GCN, danh sách các trường hợp sử dụng đất theo địa điểm (theo xã)</t>
  </si>
  <si>
    <t xml:space="preserve">Tổ chức phổ biến, tuyên truyền chủ trương, chính sách về đăng ký, cấp GCN </t>
  </si>
  <si>
    <t>Trích lục bản đồ địa chính đối với nơi đã có bản đồ địa chính hoặc kiểm tra, ký xác nhận mảnh trích đo bản đồ địa chính</t>
  </si>
  <si>
    <t>Kiểm tra thực tế sử dụng đất của tổ chức, xác định ranh giới cụ thể của thửa đất đối với tổ chức</t>
  </si>
  <si>
    <t>Niêm yết công khai các nội dung xác nhận tại trụ sở Ủy ban nhân dân cấp xã, khu dân cư nơi có đất</t>
  </si>
  <si>
    <t>Nhận các ý kiến phản ánh; Xem xét giải quyết các ý kiến phản ánh về nội dung đã công khai.</t>
  </si>
  <si>
    <t>Cấp xã quyết định hình thức sử dụng đất đối với tổ chức</t>
  </si>
  <si>
    <t>(1) Cột “ĐM Đất” áp dụng cho trường hợp đăng ký, cấp GCN đối với đất; cột “ĐM TS” áp dụng cho trường hợp đăng ký, cấp GCN đối với tài sản; cột “ĐM Đất + TS” áp dụng đối với trường hợp đăng ký, cấp GCN đối với cả đất và tài sản gắn liền với đất.</t>
  </si>
  <si>
    <t xml:space="preserve">(3) Trường hợp thửa đất đã cấp GCN mà có thay đổi về mục đích sử dụng đất, ranh giới thửa đất không thay đổi thì áp dụng theo định mức quy định tại Bảng này. </t>
  </si>
  <si>
    <t>0,1</t>
  </si>
  <si>
    <t>0,05</t>
  </si>
  <si>
    <t>Bàn giao HSĐC cho cấp xã, thị trấn để quản lý và khai thác sử dụng (8000 hồ sơ/xã, 1bộ)</t>
  </si>
  <si>
    <t>Đăng ký, cấp đổi Giấy chứng nhận đồng loạt tại xã, phường</t>
  </si>
  <si>
    <t>Đăng ký, cấp đổi, cấp lại Giấy chứng nhận riêng lẻ đối với hộ gia đình, cá nhân, cộng đồng dân cư, người gốc Việt Nam định cư ở nước ngoài</t>
  </si>
  <si>
    <t>Đăng ký biến động đất đai đối với hộ gia đình, cá nhân, cộng đồng dân cư, người gốc Việt Nam định cư ở nước ngoài</t>
  </si>
  <si>
    <t>USB (1GB)</t>
  </si>
  <si>
    <t xml:space="preserve">Cộng </t>
  </si>
  <si>
    <t>Tại địa bàn xã, phường</t>
  </si>
  <si>
    <t>Trường hợp nộp hồ sơ tại địa bàn xã, phường</t>
  </si>
  <si>
    <t>(2) Định mức dụng cụ trên áp dụng cho trường hợp đăng ký đất hoặc trường hợp đăng ký tài sản; trường hợp đăng ký cả đất và tài sản thì mức dụng cụ được tính bằng hệ số là 1,3 mức dụng cụ ở Bảng 64.</t>
  </si>
  <si>
    <t>Định mức (ca/hồ sơ) Tại địa bàn xã, phường</t>
  </si>
  <si>
    <t>Thành tiền Tại địa bàn xã, phường</t>
  </si>
  <si>
    <t>Đăng ký, cấp giấy chứng nhận đối với quyền sử dụng đất</t>
  </si>
  <si>
    <t>Đăng ký, cấp giấy chứng nhận đối với quyền sử dụng đất và tài sản gắn liền với đất</t>
  </si>
  <si>
    <t xml:space="preserve">Thửa đất tăng thêm trong trường hợp nhiều thửa đất nông nghiệp được cấp chung trong một giấy chứng nhận </t>
  </si>
  <si>
    <t>Tại xã, phường</t>
  </si>
  <si>
    <t>Tại cấp tỉnh</t>
  </si>
  <si>
    <t xml:space="preserve">Đối với các hồ sơ không có nhu cầu hoặc không đủ điều kiện cấp giấy chứng nhận </t>
  </si>
  <si>
    <t>I.4</t>
  </si>
  <si>
    <t>Đối người sử dụng đất đã đăng ký đất đai theo quy định của pháp luật mà có nhu cầu cấp giấy chứng nhận đất đối với đất</t>
  </si>
  <si>
    <t>I.5</t>
  </si>
  <si>
    <t>Đơn giá sản phẩm có khấu hao</t>
  </si>
  <si>
    <t>Đơn giá sản phẩm trừ khấu hao</t>
  </si>
  <si>
    <t>II.4</t>
  </si>
  <si>
    <t>II.5</t>
  </si>
  <si>
    <t>Thửa đất tăng thêm trong trường hợp nhiều thửa đất nông nghiệp được cấp chung trong một giấy chứng nhận</t>
  </si>
  <si>
    <t>Đối với các hồ sơ không có nhu cầu hoặc không đủ điều kiện cấp giấy chứng nhận đối với đất</t>
  </si>
  <si>
    <t>Đối với các hồ sơ không có nhu cầu hoặc không đủ điều kiện cấp giấy chứng nhận đối với đất cộng tài sản</t>
  </si>
  <si>
    <t>Đối người sử dụng đất đã đăng ký đất đai theo quy định của pháp luật mà có nhu cầu cấp giấy chứng nhận đất đối với đất cộng tài sản</t>
  </si>
  <si>
    <t>Đối người sử dụng đất đã đăng ký đất đai theo quy định của pháp luật mà có nhu cầu cấp giấy chứng nhận</t>
  </si>
  <si>
    <t>Đăng ký, cấp giấy chứng nhận đối với quyền sử dụng đất cộng tài sản</t>
  </si>
  <si>
    <t>Trường hợp đăng ký đất đai nhưng không có nhu cầu hoặc không đủ điều kiện cấp GCN</t>
  </si>
  <si>
    <t>III.4</t>
  </si>
  <si>
    <t>Trường hợp đăng ký đối với đất được giao để quản lý</t>
  </si>
  <si>
    <t>Đăng ký, cấp đổi Giấy chứng nhận đồng loạt tại xã, phường đối với đất</t>
  </si>
  <si>
    <t>Đăng ký, cấp đổi Giấy chứng nhận đồng loạt tại xã, phường đối với đất cộng tài sản</t>
  </si>
  <si>
    <t>Đăng ký, cấp đổi Giấy chứng nhận đồng loạt tại xã, phường đối với tài sản</t>
  </si>
  <si>
    <t>Trường hợp nhiều thửa đất nông nghiệp lập chung trong 1 hồ sơ và cấp chung trong một GCN</t>
  </si>
  <si>
    <t>IV.5</t>
  </si>
  <si>
    <t>Trường hợp có kê khai đăng ký, nhưng người sử dụng đất không đổi GCN</t>
  </si>
  <si>
    <t>Trường hợp có kê khai đăng ký, nhưng người sử dụng đất không đổi GCN đối với đất</t>
  </si>
  <si>
    <t>Trường hợp có kê khai đăng ký, nhưng người sử dụng đất không đổi GCN đối với đất cộng tài sản</t>
  </si>
  <si>
    <t>Trường hợp có kê khai đăng ký, nhưng người sử dụng đất không đổi GCN đối với tài sản</t>
  </si>
  <si>
    <t>Đăng ký, cấp đổi, cấp lại Giấy chứng nhận riêng lẻ đối với hộ gia đình, cá nhân, cộng đồng dân cư, người gốc Việt Nam định cư ở nước ngoài đối với đất</t>
  </si>
  <si>
    <t>Đăng ký, cấp đổi, cấp lại Giấy chứng nhận riêng lẻ đối với hộ gia đình, cá nhân, cộng đồng dân cư, người gốc Việt Nam định cư ở nước ngoài đối với tài sản</t>
  </si>
  <si>
    <t>Đăng ký, cấp đổi, cấp lại Giấy chứng nhận riêng lẻ đối với hộ gia đình, cá nhân, cộng đồng dân cư, người gốc Việt Nam định cư ở nước ngoài đối với đất cộng tài sản</t>
  </si>
  <si>
    <t>CÁC NỘI DUNG THỰC HIỆN TẠI ĐỊA BÀN CẤP XÃ,PHƯỜNG (CẤP ĐỔI GCN)</t>
  </si>
  <si>
    <t>CÁC NỘI DUNG THỰC HIỆN TẠI ĐỊA BÀN CẤP XÃ,PHƯỜNG (CẤP LẠI GCN)</t>
  </si>
  <si>
    <t>CÁC NỘI DUNG THỰC HIỆN TẠI ĐỊA BÀN CẤP TỈNH (TRƯỜNG HỢP CẤP ĐỔI GCN)</t>
  </si>
  <si>
    <t>CÁC NỘI DUNG THỰC HIỆN TẠI ĐỊA BÀN CẤP TỈNH (TRƯỜNG HỢP CẤP LẠI GCN)</t>
  </si>
  <si>
    <t>Đăng ký biến động đất đai đối với cá nhân có thực hiện cấp mới giấy chứng nhận</t>
  </si>
  <si>
    <t>Đăng ký biến động đất đai đối với đất</t>
  </si>
  <si>
    <t>Đăng ký biến động đất đai đối với tài sản</t>
  </si>
  <si>
    <t>Đăng ký biến động đất đai đối với đất cộng tài sản</t>
  </si>
  <si>
    <t>Đăng ký biến động đất đai đối với cá nhân không thực hiện cấp mới giấy chứng nhận</t>
  </si>
  <si>
    <t>CÁC NỘI DUNG THỰC HIỆN TẠI ĐỊA BÀN XÃ, PHƯỜNG</t>
  </si>
  <si>
    <t>CÁC NỘI DUNG THỰC HIỆN TẠI ĐỊA BÀN XÃ, PHƯỜNG (TRƯỜNG HỢP CÓ CẤP GCN</t>
  </si>
  <si>
    <t>CÁC NỘI DUNG THỰC HIỆN TẠI ĐỊA BÀN XÃ, PHƯỜNG (TRƯỜNG HỢP KHÔNG CẤP GCN</t>
  </si>
  <si>
    <t>Đăng ký biến động đất đai đối với tổ chức có thực hiện cấp mới giấy chứng nhận</t>
  </si>
  <si>
    <t>Đăng ký biến động đất đai đối với tổ chức không thực hiện cấp mới giấy chứng nhận</t>
  </si>
  <si>
    <t>Dưới 05 thửa: Mức cho một thửa tính bằng 0,80 mức quy định tại Bảng 14;</t>
  </si>
  <si>
    <t>Từ 05 thửa đến 10 thửa: Mức cho một thửa tính bằng 0,65 mức quy định tại Bảng 14;</t>
  </si>
  <si>
    <t>Trên 10 thửa: Mức cho một thửa tính bằng 0,50 mức quy định tại Bảng 14.</t>
  </si>
  <si>
    <t>Đăng ký, cấp Giấy chứng nhận lần đầu đơn lẻ đối với hộ gia đình, cá nhân</t>
  </si>
  <si>
    <t>Mẫu trích lục bản đồ</t>
  </si>
  <si>
    <t>Đơn đề nghị cấp GCN</t>
  </si>
  <si>
    <t>Sổ công tác</t>
  </si>
  <si>
    <t>Quyển</t>
  </si>
  <si>
    <t>Đăng ký, cấp Giấy chứng nhận lần đầu đơn lẻ đối với hộ gia đình, cá nhân, cộng đồng dân cư, tổ chức trong nước, người gốc Việt Nam định cư ở nước ngoài tại địa bàn xã, phường</t>
  </si>
  <si>
    <t>Đăng ký, cấp Giấy chứng nhận lần đầu đối với tổ chức, tổ chức tôn giáo, tổ chức tôn giáo trực thuộc đang sử dụng đất</t>
  </si>
  <si>
    <t>Đăng ký, cấp đổi, cấp lại Giấy chứng nhận riêng lẻ đối với tổ chức, tổ chức tôn giáo, tổ chức tôn giáo trực thuộc, tổ chức nước ngoài có chức năng ngoại giao, tổ chức kinh tế có vốn đầu tư nước ngoài, tổ chức nước ngoài, cá nhân nước ngoài</t>
  </si>
  <si>
    <t xml:space="preserve">Đăng ký biến động đất đai đối với tổ chức, tổ chức tôn giáo, tổ chức tôn giáo trực thuộc, tổ chức nước ngoài có chức năng ngoại giao, tổ chức kinh tế có vốn đầu tư nước ngoài, tổ chức nước ngoài, cá nhân nước ngoài </t>
  </si>
  <si>
    <t>(2) Đối với xã, phường xây dựng cơ sở dữ liệu địa chính thì trong công việc đăng ký, cấp GCN không được tính mức thiết bị tại địa bàn cấp tỉnh quy định tại Bảng 62.</t>
  </si>
  <si>
    <t>(4) Trường hợp nhiều thửa đất nông nghiệp được cấp chung trong một GCN thì ngoài mức được tính ở trên cứ mỗi thửa đất tăng thêm được tính thêm 0,30 lần định mức cho các nội dung thực hiện tại địa bàn xã, phường và 0,20 đối với các nội dung thực hiện tại địa bàn cấp tỉnh.</t>
  </si>
  <si>
    <t>Đĩa  CD ( cơ số 2)</t>
  </si>
  <si>
    <t>Đĩa  CD ( cơ số 3)</t>
  </si>
  <si>
    <t>Mực in cho máy Plotter (6 màu)</t>
  </si>
  <si>
    <t>Số TT</t>
  </si>
  <si>
    <t>Chuyển đổi hộ gia đình, cá nhân sử dụng đất thành tổ chức kinh tế của hộ gia đình, cá nhân đó mà không thuộc trường hợp chuyển nhượng quyền sử dụng đất, quyền sở hữu tài sản gắn liền với đất</t>
  </si>
  <si>
    <t>Khó khăn</t>
  </si>
  <si>
    <t>Tổng</t>
  </si>
  <si>
    <t>Bảng 12.1</t>
  </si>
  <si>
    <t>-</t>
  </si>
  <si>
    <t>Đăng ký đối với đất</t>
  </si>
  <si>
    <t>Đăng ký đối với tài sản</t>
  </si>
  <si>
    <t>Đăng ký đối với đất cộng tài sản</t>
  </si>
  <si>
    <t>Trường hợp cấp mới Giấy chứng nhận</t>
  </si>
  <si>
    <t>Trường hợp không cấp mới Giấy chứng nhận</t>
  </si>
  <si>
    <t>Bảng 13.1</t>
  </si>
  <si>
    <t>Phụ cấp khu vực</t>
  </si>
  <si>
    <t xml:space="preserve">Đơn giá
sản phẩm </t>
  </si>
  <si>
    <t>Bảng 65</t>
  </si>
  <si>
    <t>(2) Định mức thiết bị trên áp dụng cho trường hợp đăng ký đất hoặc trường hợp đăng ký tài sản; trường hợp đăng ký cả đất và tài sản thì mức thiết bị được tính bằng hệ số là 1,3 mức thiết bị ở Bảng 65.</t>
  </si>
  <si>
    <t>(2) Định mức thiết bị trên áp dụng cho cả trường hợp đăng ký đất hoặc trường hợp đăng ký tài sản; trường hợp đăng ký cả đất và tài sản thì mức thiết bị được tính bằng hệ số là 1,3 mức thiết bị của Bảng 68.</t>
  </si>
  <si>
    <t>Bảng 72</t>
  </si>
  <si>
    <t>(1) Định mức trên đây tính đối với việc đăng ký, cấp GCN về quyền sử dụng đất. Trường hợp đăng ký, cấp GCN đối với cả đất và tài sản gắn liền với đất thì định mức tính cho 1 hồ sơ đăng ký cả đất và tài sản bằng 1,3 lần định mức cho 1 hồ sơ đăng ký đối với đất. Trường hợp đăng ký riêng đối với tài sản thì định mức tính cho 1 hồ sơ đăng ký đối với tài sản bằng định mức cho 1 hồ sơ đăng ký đối với đất.</t>
  </si>
  <si>
    <t>(2) Đối với xã, phường xây dựng cơ sở dữ liệu địa chính thì trong công việc đăng ký, cấp đổi GCN không được tính mức thiết bị tại địa bàn cấp tỉnh quy định tại Bảng 72.</t>
  </si>
  <si>
    <t>(3) Trường hợp nhiều thửa đất nông nghiệp được cấp chung trong một GCN thì ngoài mức được tính ở trên cứ mỗi thửa đất tăng thêm được tính thêm 0,20 lần định mức tại địa bàn xã, phường và 0,20 đối với các nội dung thực hiện tại địa bàn cấp tỉnh.</t>
  </si>
  <si>
    <t>(4) Trường hợp đăng ký nhưng không có nhu cầu đổi GCN hoặc không đủ điều kiện cấp đổi GCN thì được tính mức bằng 90% mức quy định tại Bảng 72.</t>
  </si>
  <si>
    <t>Bảng 75</t>
  </si>
  <si>
    <t>(2) Định mức thiết bị trên áp dụng cho trường hợp đăng ký đất hoặc trường hợp đăng ký tài sản. Trường hợp đăng ký cả đất và tài sản thì mức thiết bị được tính bằng hệ số là 1,3 mức thiết bị của Bảng 75.</t>
  </si>
  <si>
    <t>Bảng 78</t>
  </si>
  <si>
    <t>(2) Định mức thiết bị trên áp dụng cho trường hợp đăng ký đất hoặc trường hợp đăng ký tài sản. Trường hợp đăng ký cả đất và tài sản thì mức thiết bị được tính bằng hệ số là 1,3 mức thiết bị của Bảng 78.</t>
  </si>
  <si>
    <t>(2) Định mức thiết bị trên áp dụng cho cả trường hợp đăng ký đất hoặc trường hợp đăng ký tài sản. Trường hợp đăng ký cả đất và tài sản thì mức thiết bị được tính bằng hệ số là 1,3 mức thiết bị của Bảng 81.</t>
  </si>
  <si>
    <t>(3) Trường hợp đăng ký biến động đất đai mà thực hiện cấp mới GCN thì áp dụng mức thiết bị của Bảng 81. Trường hợp đăng ký biến động đất đai mà không thực hiện cấp mới GCN thì được tính bằng 0,6 lần mức thiết bị của Bảng 81 trên.</t>
  </si>
  <si>
    <t>Bảng 84</t>
  </si>
  <si>
    <t>(2) Định mức thiết bị trên áp dụng cho cả trường hợp đăng ký đất hoặc trường hợp đăng ký tài sản; trường hợp đăng ký cả đất và tài sản thì mức thiết bị được tính bằng hệ số là 1,3 mức thiết bị của Bảng 84.</t>
  </si>
  <si>
    <t>(3) Trường hợp đăng ký biến động đất đai mà thực hiện cấp mới GCN thì áp dụng mức thiết bị của Bảng 84. Trường hợp đăng ký biến động đất đai mà không thực hiện cấp mới GCN thì được tính bằng 0,6 lần mức thiết bị của Bảng 84 trên.</t>
  </si>
  <si>
    <t>Dưới 05 thửa: Mức cho một thửa tính bằng 0,80 mức quy định tại Bảng 87</t>
  </si>
  <si>
    <t>Từ 05 thửa đến 10 thửa: Mức cho một thửa tính bằng 0,65 mức quy định tại Bảng 87</t>
  </si>
  <si>
    <t>Trên 10 thửa: Mức cho một thửa tính bằng 0,50 mức quy định tại Bảng 87</t>
  </si>
  <si>
    <t>Bảng 63</t>
  </si>
  <si>
    <t>(2) Đối với xã, phường xây dựng cơ sở dữ liệu địa chính thì trong công việc đăng ký, cấp GCN không được tính mức vật liệu cho địa bàn cấp tỉnh quy định tại Bảng 63.</t>
  </si>
  <si>
    <t>Bảng 66</t>
  </si>
  <si>
    <t>Định mức vật liệu tại Bảng 66 áp dụng cho các trường hợp đăng ký đất hoặc đăng ký tài sản hoặc đăng ký cả đất và tài sản.</t>
  </si>
  <si>
    <t>Bảng 69</t>
  </si>
  <si>
    <r>
      <t xml:space="preserve">Ghi chú: </t>
    </r>
    <r>
      <rPr>
        <sz val="12"/>
        <color rgb="FF00B050"/>
        <rFont val="Times New Roman"/>
        <family val="1"/>
      </rPr>
      <t>Định mức vật liệu trên áp dụng cho các trường hợp đăng ký đất hoặc đăng ký tài sản hoặc đăng ký cả đất và tài sản</t>
    </r>
  </si>
  <si>
    <t>(2) Đối với xã, phường xây dựng cơ sở dữ liệu địa chính thì trong công việc đăng ký, cấp đổi GCN không được tính mức vật liệu tại địa bàn cấp tỉnh quy định tại Bảng 73.</t>
  </si>
  <si>
    <r>
      <t xml:space="preserve">Ghi chú: </t>
    </r>
    <r>
      <rPr>
        <sz val="12"/>
        <color rgb="FF00B050"/>
        <rFont val="Times New Roman"/>
        <family val="1"/>
      </rPr>
      <t>Định mức vật liệu trên áp dụng cho các trường hợp đăng ký đất hoặc đăng ký tài sản hoặc đăng ký cả đất và tài sản.</t>
    </r>
  </si>
  <si>
    <t>Bảng 79</t>
  </si>
  <si>
    <r>
      <rPr>
        <b/>
        <sz val="12"/>
        <color rgb="FF00B050"/>
        <rFont val="Times New Roman"/>
        <family val="1"/>
      </rPr>
      <t xml:space="preserve">Ghi chú: </t>
    </r>
    <r>
      <rPr>
        <sz val="12"/>
        <color rgb="FF00B050"/>
        <rFont val="Times New Roman"/>
        <family val="1"/>
      </rPr>
      <t>Định mức vật liệu trên áp dụng cho các trường hợp đăng ký đất hoặc đăng ký tài sản hoặc đăng ký cả đất và tài sản</t>
    </r>
  </si>
  <si>
    <t>(2) Trường hợp đăng ký biến động đất đai mà thực hiện cấp mới GCN thì áp dụng mức vật liệu của Bảng 82. Trường hợp đăng ký biến động đất đai mà không thực hiện cấp mới GCN thì được tính bằng 0,6 lần mức vật liệu của Bảng 82 trên và không được tính vật liệu là mẫu trích lục bản đồ và GCN, trừ trường hợp biến động có thay đổi diện tích mà cần phải trích lục bản đồ.</t>
  </si>
  <si>
    <t>Bảng 85</t>
  </si>
  <si>
    <t>2) Mức vật liệu cho công việc tại địa bàn xã, phường được tính bằng 0,02 mức quy định tại Bảng 85.</t>
  </si>
  <si>
    <t>(3) Trường hợp đăng ký biến động đất đai mà thực hiện cấp mới GCN thì áp dụng mức vật liệu của Bảng 85. Trường hợp đăng ký biến động đất đai mà không thực hiện cấp mới GCN thì được tính bằng 0,6 lần mức vật liệu của Bảng 85 trên và không được tính vật liệu là mẫu trích lục bản đồ và GCN, trừ trường hợp biến động có thay đổi diện tích mà cần phải trích lục bản đồ.</t>
  </si>
  <si>
    <t>Đối với đối hộ gia đình, cá nhân (Có chuẩn bị hợp đồng thuê đất)</t>
  </si>
  <si>
    <t>Đối với đối hộ gia đình, cá nhân (không chuẩn bị hợp đồng thuê đất)</t>
  </si>
  <si>
    <t>CÁC NỘI DUNG THỰC HIỆN TẠI ĐỊA BÀN XÃ, PHƯỜNG (ĐỐI VỚI CÁ NHÂN CÓ PHẢI CHUẨN BỊ HỢP ĐỒNG THUÊ ĐẤT)</t>
  </si>
  <si>
    <t>CÁC NỘI DUNG THỰC HIỆN TẠI ĐỊA BÀN XÃ, PHƯỜNG (ĐỐI VỚI CÁ NHÂN KHÔNG PHẢI CHUẨN BỊ HỢP ĐỒNG THUÊ ĐẤT)</t>
  </si>
  <si>
    <t>CÁC NỘI DUNG THỰC HIỆN TẠI ĐỊA BÀN XÃ, PHƯỜNG (ĐỐI VỚI TỔ CHỨC CÓ PHẢI CHUẨN BỊ HỢP ĐỒNG THUÊ ĐẤT)</t>
  </si>
  <si>
    <t>CÁC NỘI DUNG THỰC HIỆN TẠI ĐỊA BÀN XÃ, PHƯỜNG (ĐỐI VỚI TỔ CHỨC KHÔNG PHẢI CHUẨN BỊ HỢP ĐỒNG THUÊ ĐẤT)</t>
  </si>
  <si>
    <t>Đối với tổ chức (Có chuẩn bị hợp đồng thuê đất)</t>
  </si>
  <si>
    <t>C</t>
  </si>
  <si>
    <t>Đối với tổ chức (không phải chuẩn bị hợp đồng thuê đất)</t>
  </si>
  <si>
    <t>A.1</t>
  </si>
  <si>
    <t>Trường hợp có chuẩn bị hợp đồng thuê đất</t>
  </si>
  <si>
    <t>A.2</t>
  </si>
  <si>
    <t>Trường hợp không phải chuẩn bị hợp đồng thuê đất</t>
  </si>
  <si>
    <t>CÁC NỘI DUNG THỰC HIỆN TẠI ĐỊA BÀN CẤP XÃ, PHƯỜNG ĐỐI VỚI HỘ GIA ĐÌNH CÁ NHÂN (CÓ CHUẨN BỊ HỢP ĐỒNG THUÊ ĐẤT)</t>
  </si>
  <si>
    <t>CÁC NỘI DUNG THỰC HIỆN TẠI ĐỊA BÀN CẤP XÃ, PHƯỜNG ĐỐI VỚI HỘ GIA ĐÌNH CÁ NHÂN (KHÔNG CHUẨN BỊ HỢP ĐỒNG THUÊ ĐẤT)</t>
  </si>
  <si>
    <t xml:space="preserve"> (3) Trường hợp phải chuẩn bị hợp đồng cho thuê đất, mức dụng cụ tính bằng 0,003 mức dụng cụ thực hiện tại địa bàn xã, phường.</t>
  </si>
  <si>
    <t>(4) Đối với xã, phường xây dựng cơ sở dữ liệu địa chính thì trong công việc đăng ký, cấp GCN không được tính mức dụng cụ cho địa bàn cấp tỉnh quy định tại Bảng 60 và Bảng 61.</t>
  </si>
  <si>
    <t xml:space="preserve"> (6) Trường hợp nhiều thửa đất nông nghiệp được cấp chung trong một GCN thì ngoài mức được tính ở trên cứ mỗi thửa đất tăng thêm được tính thêm 0,20 lần định mức cho các nội dung thực hiện tại xã, phường và 0,30 đối với các nội dung thực hiện tại địa bàn cấp tỉnh.</t>
  </si>
  <si>
    <t>Đăng ký, cấp Giấy chứng nhận lần đầu đơn lẻ đối với tổ chức (thuộc thẩm quyền cấp xã)</t>
  </si>
  <si>
    <t>B.1</t>
  </si>
  <si>
    <t>CÁC NỘI DUNG THỰC HIỆN TẠI ĐỊA BÀN CẤP XÃ, PHƯỜNG ĐỐI VỚI TỔ CHỨC (CÓ CHUẨN BỊ HỢP ĐỒNG THUÊ ĐẤT)</t>
  </si>
  <si>
    <t>CÁC NỘI DUNG THỰC HIỆN TẠI ĐỊA BÀN CẤP XÃ, PHƯỜNG ĐỐI VỚI TỔ CHỨC (KHÔNG CHUẨN BỊ HỢP ĐỒNG THUÊ ĐẤT)</t>
  </si>
  <si>
    <t>B.2</t>
  </si>
  <si>
    <t>Trường hợp không có chuẩn bị hợp đồng thuê đất</t>
  </si>
  <si>
    <t>III.2.1</t>
  </si>
  <si>
    <t>TRƯỜNG HỢP CÓ HỢP ĐỒNG THUÊ ĐẤT</t>
  </si>
  <si>
    <t>III.2.2</t>
  </si>
  <si>
    <t>TRƯỜNG HỢP KHÔNG CÓ HỢP ĐỒNG THUÊ ĐẤT</t>
  </si>
  <si>
    <t>0.1</t>
  </si>
  <si>
    <t>Đăng ký, cấp Giấy chứng nhận lần đầu đồng loạt đối hộ gia đình, cá nhân, cộng đồng dân cư, tổ chức sử dụng đất, người gốc Việt Nam định cư ở nước ngoài tại địa bàn xã, phường, đặc khu</t>
  </si>
  <si>
    <t>21.1</t>
  </si>
  <si>
    <t>21.2</t>
  </si>
  <si>
    <t>24.1</t>
  </si>
  <si>
    <t>24.1.1</t>
  </si>
  <si>
    <t>24.1.2</t>
  </si>
  <si>
    <t>III/ PHỤ CẤP KHU VỰC (0.1):</t>
  </si>
  <si>
    <t>(2) Trường hợp nhiều thửa đất nông nghiệp lập chung trong 1 hồ sơ và cấp chung trong một GCN thì ngoài mức được tính ở trên, mỗi thửa đất tăng thêm được tính mức bằng 0,30 lần định mức quy định đối với Mục 2, 3, 4, 5, 6, 7, 10, 11, 12, 13, 15, 16, 17, 18, 19, 20, 21, 24, 25, 26 và 29 các nội dung thực hiện tại địa bàn xã, phường, đặc khu; Mục 1, 2 các nội dung thực hiện tại tỉnh của Bảng này.</t>
  </si>
  <si>
    <t>(3) Đối với các hồ sơ không có nhu cầu hoặc không đủ điều kiện cấp GCN thì được tính định mức đối với Mục 1, 2, 3, 4, 5, 6, 7, 10, 11, 13  và 16 các nội dung thực hiện tại địa bàn xã, phường, đặc khu; Mục 1, 2, 3 các nội dung thực hiện tại địa bàn tỉnh của Bảng 6.</t>
  </si>
  <si>
    <t>(4) Trường hợp người sử dụng đất đã đăng ký đất đai theo quy định của pháp luật mà có nhu cầu và đủ điều kiện cấp GCN thì được tính định mức đối với Mục 2, 7, 12, ,17, 18, 19, 20, 21, 24, 25, 26 và 29 các nội dung thực hiện tại địa bàn xã, phường, đặc khu; Mục 1, 2, 3 các nội dung thực hiện tại địa bàn tỉnh của Bảng này.</t>
  </si>
  <si>
    <t>(5) Đơn vị tính tại Bảng này trong trường hợp sử dụng là “Bộ/đĩa”, “Bộ/xã, phường, đặc khu” được tính trung bình cho 20.000 hồ sơ/1 xã, phường, đặc khu; trong trường hợp sử dụng là “Tờ” được tính trung bình 250 tờ bản đồ/1 xã, phường, đặc khu.</t>
  </si>
  <si>
    <t>(6) Đơn vị tính tại Bảng này trong trường hợp sử dụng là “Điểm” được tính trung bình cho 10 điểm/1 xã, phường, đặc khu và “Cuộc” được tính trung bình cho 10 cuộc/1 xã, phường, đặc khu.</t>
  </si>
  <si>
    <t>24.2</t>
  </si>
  <si>
    <t>(2) Trường hợp nhiều thửa đất nông nghiệp lập chung trong 1 hồ sơ và cấp chung trong một GCN thì ngoài mức được tính ở trên, mỗi thửa đất tăng thêm được tính mức bằng 0,30 lần định mức quy định đối với Mục 2, 3, 4, 5, 6, 7, 10, 11, 12, 13, 15, 16, 17, 18, 19, 20, 21, 24, 25 và 28 các nội dung thực hiện tại địa bàn xã, phường, đặc khu; Mục 1, 2 các nội dung thực hiện tại tỉnh của Bảng này.</t>
  </si>
  <si>
    <t>(3) Đối với các hồ sơ không có nhu cầu hoặc không đủ điều kiện cấp GCN thì được tính định mức đối với Mục 1, 2, 3, 4, 5, 6, 7, 10, 11, 13 và 16 các nội dung thực hiện tại địa bàn xã, phường, đặc khu; Mục 1, 2, 3 các nội dung thực hiện tại địa bàn tỉnh của Bảng 7.</t>
  </si>
  <si>
    <t>(4) Trường hợp người sử dụng đất đã đăng ký đất đai theo quy định của pháp luật mà có nhu cầu và đủ điều kiện cấp GCN thì được tính định mức đối với Mục 2, 7, 12, 17, 18, 19, 20, 23, 24, 25 và 28 các nội dung thực hiện tại địa bàn xã, phường, đặc khu; Mục 1, 2, 3 các nội dung thực hiện tại địa bàn tỉnh của Bảng này.</t>
  </si>
  <si>
    <t>(1) Cột “ĐM Đất” áp dụng cho trường hợp đăng ký, cấp GCN đối với đất; cột “ĐM Đất + TS” áp dụng đối với trường hợp đăng ký, cấp GCN đối với cả đất và tài sản gắn liền với đất.</t>
  </si>
  <si>
    <t>CÁC NỘI DUNG THỰC HIỆN TẠI ĐỊA BÀN XÃ, PHƯỜNG, ĐẶC KHU</t>
  </si>
  <si>
    <t>(2) Trường hợp đăng ký đất đai nhưng không có nhu cầu hoặc không đủ điều kiện cấp GCN thì được tính định mức đối với Mục 1, 2, 3, 4, 5, 6, 7 và 8 nội dung thực hiện tại địa bàn xã, phường, đặc khu; Mục 15 và 16 các nội dung thực hiện tại địa bàn tỉnh.</t>
  </si>
  <si>
    <t>(3) Trường hợp đăng ký đối với đất được giao để quản lý thì được tính định mức đối với Mục 1, 2, 3, 4 và 5 nội dung thực hiện tại địa bàn xã, phường, đặc khu; Mục 15 và 16 các nội dung thực hiện tại địa bàn tỉnh.</t>
  </si>
  <si>
    <t xml:space="preserve">Nhận hồ sơ địa chính từ tỉnh và gửi về xã, phường, đặc khu (01 bộ) </t>
  </si>
  <si>
    <t>(1) Định mức trên đây tính đối với việc đăng ký, cấp đổi GCN về quyền sử dụng đất. Trường hợp đăng ký, cấp đổi GCN đối với cả đất và tài sản gắn liền với đất thì định mức tính cho 1 hồ sơ đăng ký cả đất và tài sản bằng 1,3 lần định mức lao động cho 1 hồ sơ đăng ký đối với đất quy định tại Bảng này. Trường hợp đăng ký cấp đổi GCN riêng đối với tài sản thì định mức tính cho 1 hồ sơ đăng ký cấp đổi GCN đối với tài sản bằng định mức lao động cho 1 hồ sơ đăng ký đối với đất quy định tại Bảng này.</t>
  </si>
  <si>
    <t>(2) Trường hợp nhiều thửa đất nông nghiệp lập chung trong 1 hồ sơ và cấp chung trong một GCN thì ngoài mức được tính ở trên, mỗi thửa đất tăng thêm được tính mức bằng 0,30 lần định mức quy định đối với Mục 2, 3, 4, 5, 6, 7, 8, 9, 10, 11, 12, 13, 14, 18, 19, 20, 21 và 23 các nội dung thực hiện tại địa bàn xã, phường, đặc khu; Mục 1, 2 và 3 các nội dung thực hiện tại địa bàn tỉnh của Bảng này.</t>
  </si>
  <si>
    <t>(4) Trường hợp thửa đất đã cấp GCN mà có thay đổi về mục đích sử dụng đất, ranh giới thửa đất thì áp dụng theo định mức như đối với trường hợp cấp GCN đồng loạt lần đầu.</t>
  </si>
  <si>
    <t>(5) Trường hợp cấp đổi GCN đối với thửa đất có biến động khác về quyền sử dụng đất, tài sản gắn liền với đất (chuyển quyền sử dụng đất, thay đổi về tài sản gắn liền với đất, v.v...) thì định mức lao động quy định tại các mục 2 7, 8, 9, 10, 11, 12, 13, 14, 18, 19, 20, 21 và 23 các nội dung thực hiện tại địa bàn xã, phường, đặc khu Bảng này được tính bằng 1,5 lần.</t>
  </si>
  <si>
    <t>(6) Trường hợp có kê khai đăng ký, nhưng người sử dụng đất không đổi GCN thì định mức được tính bằng 90% định mức quy định đối với trường hợp cấp đổi GCN tại Bảng 9.</t>
  </si>
  <si>
    <t>(7) Đơn vị tính tại Bảng này trong trường hợp sử dụng là “Bộ/đĩa”, “Bộ/xã, phường, đặc khu” được tính trung bình cho 20.000 hồ sơ/1 xã, phường, đặc khu; trong trường hợp sử dụng là “Tờ” được tính trung bình 250 tờ bản đồ/1 xã, phường, đặc khu.</t>
  </si>
  <si>
    <t>(8) Đơn vị tính tại Bảng này trong trường hợp sử dụng là “Điểm” được tính trung bình cho 10 điểm/1 xã, phường, đặc khu và “Cuộc” được tính trung bình cho 10 cuộc/1 xã, phường, đặc khu.</t>
  </si>
  <si>
    <t>CÁC NỘI DUNG THỰC HIỆN TẠI ĐỊA BÀN XÃ, PHƯỜNG, ĐẶC KHU (TRƯỜNG HỢP CÓ CHUẨN BỊ HỢP ĐỒNG THUÊ ĐẤT)</t>
  </si>
  <si>
    <t>CÁC NỘI DUNG THỰC HIỆN TẠI ĐỊA BÀN XÃ, PHƯỜNG, ĐẶC KH (TRƯỜNG HỢP KHÔNG PHẢI CHUẨN BỊ HỢP ĐỒNG THUÊ ĐẤT)</t>
  </si>
  <si>
    <t>CÁC NỘI DUNG THỰC HIỆN TẠI ĐỊA BÀN CẤP XÃ,PHƯỜNG, ĐẶC KHU</t>
  </si>
  <si>
    <t>UBND xã, phường, đặc khu nhận thông báo biến động, chỉnh lý vào HSĐC</t>
  </si>
  <si>
    <t>Tỉnh nhận thông báo biến động, chỉnh lý vào HSĐC, lưu kho hồ sơ</t>
  </si>
  <si>
    <t>(4) Trường hợp thửa đất đã cấp GCN mà có thay đổi về mục đích sử dụng đất, ranh giới thửa đất thì áp dụng theo định mức như đối với trường hợp cấp GCN đơn lẻ lần đầu.</t>
  </si>
  <si>
    <t>(6) Trường hợp cấp đổi GCN đồng thời với thực hiện thủ tục đăng ký biến động đất đai thì áp dụng theo định mức đăng ký biến động đất đai quy định tại Điều 19 Quy định này.</t>
  </si>
  <si>
    <t>2) Trường hợp cấp đổi GCN đồng thời với thực hiện thủ tục đăng ký biến động đất đai thì áp dụng theo định mức đăng ký biến động đất đai quy định tại Điều 20 Quy định này.</t>
  </si>
  <si>
    <t>(2) Các trường hợp đăng ký biến động đất đai mà thực hiện cấp mới GCN thì áp dụng định mức của Bảng này. Trường hợp đăng ký biến động mà không thực hiện cấp mới GCN thì áp dụng theo quy định tại Bảng 12.1 sau đây:</t>
  </si>
  <si>
    <t>(2) Các trường hợp đăng ký biến động đất đai mà thực hiện cấp mới GCN thì áp dụng định mức của Bảng này. Trường hợp đăng ký biến động mà không thực hiện cấp mới GCN thì áp dụng theo quy định tại Bảng 13.1 sau đây:</t>
  </si>
  <si>
    <t xml:space="preserve">Mục 1, 2, 3, 4, 5, 7, 21, 23, 25, 26, 27, 28, 29, 30, 31 </t>
  </si>
  <si>
    <t xml:space="preserve">Mục 1, 2, 3, 4, 5, 7, 18, 21, 23, 25, 26, 27, 28, 29, 30, 31 </t>
  </si>
  <si>
    <t>Mục  1, 2, 3, 4, 5, 7, 21, 23, 26, 27, 28, 29, 30, 31</t>
  </si>
  <si>
    <t xml:space="preserve">Mục 1, 2, 3, 4, 5, 7, 19, 21, 23, 25, 26, 27, 28, 29, 30, 31 </t>
  </si>
  <si>
    <t xml:space="preserve">Mục 1, 2, 3, 4, 5, 7, 19, 23, 25, 26, 27, 28, 29, 30, 31 </t>
  </si>
  <si>
    <t xml:space="preserve">Mục 1, 2, 3, 4, 5, 7, 17, 19, 21, 23, 25, 26, 27, 28, 29, 30, 31 </t>
  </si>
  <si>
    <t xml:space="preserve">Mục  1, 2, 3, 4, 5, 18, 21, 23, 25, 26, 27, 28, 29, 30, 31 </t>
  </si>
  <si>
    <t>Các bước công việc được áp dụng của Bảng 12.1</t>
  </si>
  <si>
    <t>Hệ số áp dụng cho các mục 3, 17, 21, 26 của Bảng 12.1</t>
  </si>
  <si>
    <t>Mục 1, 2, 3, 4, 5, 7, 16, 18, 20, 21, 22, 23, 24, 25 các nội dung thực hiện tại tỉnh và Mục 1 nội dung thực hiện tại địa bàn xã, phường, đặc khu</t>
  </si>
  <si>
    <t>Mục 1, 2, 3, 4, 5, 7, 13, 16, 18, 20, 21, 22, 23, 24, 25 các nội dung thực hiện tại tỉnh và Mục 1 nội dung thực hiện tại địa bàn xã, phường, đặc khu</t>
  </si>
  <si>
    <t>Mục 1, 2, 3, 4, 5, 16, 18, 20, 21, 22, 23, 24, 25 các nội dung thực hiện tại tỉnh và Mục 1 nội dung thực hiện tại địa bàn xã, phường, đặc khu</t>
  </si>
  <si>
    <t>Mục 1, 2, 3, 4, 5, 7, 14, 16, 18, 20, 21, 22, 23, 24, 25 các nội dung thực hiện tại tỉnh và Mục 1 nội dung thực hiện tại địa bàn xã, phường, đặc khu</t>
  </si>
  <si>
    <t>Mục 1, 2, 3, 4, 5, 7, 12, 14, 16, 18, 20, 21, 22, 23, 24, 25 các nội dung thực hiện tại tỉnh và Mục 1 nội dung thực hiện tại địa bàn xã, phường, đặc khu</t>
  </si>
  <si>
    <t>Mục 1, 2, 3, 4, 5, 13, 16, 18, 20, 21, 22, 23, 24, 25 các nội dung thực hiện tại tỉnh và Mục 1 nội dung thực hiện tại địa bàn xã, phường, đặc khu</t>
  </si>
  <si>
    <t>Các bước công việc được áp dụng của Bảng 13.1</t>
  </si>
  <si>
    <t>Hệ số áp dụng cho các mục 3, 12, 16, 21 của Bảng 13.1</t>
  </si>
  <si>
    <t xml:space="preserve">- Hệ số lương cấp bậc theo Nghị định số 204/2004/NĐ-CP ngày 09 tháng 5 năm 2019 của Chính phủ
- Mức lương cơ sở tính theo Nghị định 161/2026/NĐ-CP ngày 15 tháng 5 năm 2026 của Chính phủ
- Lương lao động phổ thông theo Nghị định số 293/2025/NĐ-CP ngày 10/11/2025 quy định mức lương tối thiểu đối với người lao động làm việc theo hợp đồng lao động </t>
  </si>
  <si>
    <t>Tên tài sản</t>
  </si>
  <si>
    <t>Đvt</t>
  </si>
  <si>
    <t>Sl</t>
  </si>
  <si>
    <t>Đơn giá</t>
  </si>
  <si>
    <t>Dụng cụ</t>
  </si>
  <si>
    <t>Áo rét bảo hộ lao động</t>
  </si>
  <si>
    <t>Compa đơn</t>
  </si>
  <si>
    <t>Compa kép</t>
  </si>
  <si>
    <t>Compa vòng tròn nhỏ</t>
  </si>
  <si>
    <t>Dao phát cây (Rựa)</t>
  </si>
  <si>
    <t>Eke</t>
  </si>
  <si>
    <t>Giày bảo hộ lao động</t>
  </si>
  <si>
    <t>Quy phạm</t>
  </si>
  <si>
    <t>Tất sợi</t>
  </si>
  <si>
    <t>Thước đo độ</t>
  </si>
  <si>
    <t>Thước nhựa cuộn 30 cm</t>
  </si>
  <si>
    <t>Thước 3 cạnh</t>
  </si>
  <si>
    <t>Thước cuộn vải 50m</t>
  </si>
  <si>
    <t>Thước bẹt nhựa 60cm</t>
  </si>
  <si>
    <t>Thước Đrôbưsep</t>
  </si>
  <si>
    <t>Thước nhựa 1.2m</t>
  </si>
  <si>
    <t>Bi đông nhựa</t>
  </si>
  <si>
    <t>Đèn pin</t>
  </si>
  <si>
    <t>Địa bàn kỹ thuật</t>
  </si>
  <si>
    <t>Kiềm cắt thép</t>
  </si>
  <si>
    <t>Bảng ngắm</t>
  </si>
  <si>
    <t>Ẩm kế</t>
  </si>
  <si>
    <t>Nhiệt kế</t>
  </si>
  <si>
    <t>Áp kế</t>
  </si>
  <si>
    <t>Máy in laser A4 0,5kW</t>
  </si>
  <si>
    <t>Găng tay</t>
  </si>
  <si>
    <t>Bút kẻ thẳng</t>
  </si>
  <si>
    <t>Ký hiệu bản đồ</t>
  </si>
  <si>
    <t>Đồng hồ báo thức</t>
  </si>
  <si>
    <t>Mia</t>
  </si>
  <si>
    <t>Ổn áp (chung) 10A</t>
  </si>
  <si>
    <t>USB (1gb)</t>
  </si>
  <si>
    <t>Bóng điện 100W</t>
  </si>
  <si>
    <t>Kwh</t>
  </si>
  <si>
    <t>Đầu ghi đĩa CD 0.04</t>
  </si>
  <si>
    <t>Ổ ghi đĩa DVD</t>
  </si>
  <si>
    <t>Dép xốp</t>
  </si>
  <si>
    <t>Áo Blu</t>
  </si>
  <si>
    <t>Bàn máy vi tính</t>
  </si>
  <si>
    <t>Ghế xoay</t>
  </si>
  <si>
    <t>Máy hút ẩm 2kW</t>
  </si>
  <si>
    <t>Máy hút bụi 1,5KW</t>
  </si>
  <si>
    <t>Quạt thông gió 40W</t>
  </si>
  <si>
    <t>Quạt trần 40W</t>
  </si>
  <si>
    <t>Đèn bàn 100W</t>
  </si>
  <si>
    <t>Xô nhựa 10 lít</t>
  </si>
  <si>
    <t>Quy định số hóa</t>
  </si>
  <si>
    <t>Giầy</t>
  </si>
  <si>
    <t>Dập ghim</t>
  </si>
  <si>
    <t>Bàn dập ghim (loại nhỏ)</t>
  </si>
  <si>
    <t>Bàn dập ghim (loại lớn)</t>
  </si>
  <si>
    <t>Bàn vẽ kỹ thuật</t>
  </si>
  <si>
    <t>USB (16 GB)</t>
  </si>
  <si>
    <t>Giá để tài liệu bằng sắt</t>
  </si>
  <si>
    <t>Thùng đựng thuốc</t>
  </si>
  <si>
    <t>Bình nóng lạnh 2,5 kW</t>
  </si>
  <si>
    <t>Vật liệu</t>
  </si>
  <si>
    <t>Bản đồ địa hình</t>
  </si>
  <si>
    <t>Biên bản bàn giao sản phẩm</t>
  </si>
  <si>
    <r>
      <t>Giấy A0 loại 100g/m</t>
    </r>
    <r>
      <rPr>
        <vertAlign val="superscript"/>
        <sz val="12"/>
        <rFont val="Times New Roman"/>
        <family val="1"/>
      </rPr>
      <t>2</t>
    </r>
  </si>
  <si>
    <t>Ghi chú điểm toạ độ mới</t>
  </si>
  <si>
    <t>Ghi chú điểm toạ độ cũ</t>
  </si>
  <si>
    <t>Ghi chú điểm độ cao cũ</t>
  </si>
  <si>
    <t>Giấy can</t>
  </si>
  <si>
    <t>Mét</t>
  </si>
  <si>
    <t>Giấy gói hàng</t>
  </si>
  <si>
    <t>Giấy đóng gói thành quả</t>
  </si>
  <si>
    <t>Giấy vẽ sơ đồ khu đo</t>
  </si>
  <si>
    <t>Sổ kiểm nghiệm máy</t>
  </si>
  <si>
    <t>Sổ đo góc</t>
  </si>
  <si>
    <t>Sổ đo cạnh</t>
  </si>
  <si>
    <t>Sổ đo thiên đỉnh</t>
  </si>
  <si>
    <t>Sổ  ghi chép công tác</t>
  </si>
  <si>
    <t>Sổ đo các loại</t>
  </si>
  <si>
    <t>Sổ giao ca</t>
  </si>
  <si>
    <r>
      <t>m</t>
    </r>
    <r>
      <rPr>
        <vertAlign val="superscript"/>
        <sz val="12"/>
        <rFont val="Times New Roman"/>
        <family val="1"/>
      </rPr>
      <t>3</t>
    </r>
  </si>
  <si>
    <t>Dấu sứ (mốc sử trắc địa)</t>
  </si>
  <si>
    <t>Gỗ cốt pha</t>
  </si>
  <si>
    <t>Đinh sắt 10,15cm và đệm</t>
  </si>
  <si>
    <t>Sắt Ø10</t>
  </si>
  <si>
    <t>Xăng</t>
  </si>
  <si>
    <t>Lít</t>
  </si>
  <si>
    <t>Dầu nhờn</t>
  </si>
  <si>
    <t>Mực đen</t>
  </si>
  <si>
    <t>Lọ</t>
  </si>
  <si>
    <t>Pin đèn</t>
  </si>
  <si>
    <t>Bảng tổng hợp thành quả</t>
  </si>
  <si>
    <t>Bảng tính toán</t>
  </si>
  <si>
    <t>Biên bản bàn giao thành quả</t>
  </si>
  <si>
    <t>Biên bản bàn giao</t>
  </si>
  <si>
    <t>Đĩa mềm</t>
  </si>
  <si>
    <t>Giấy Kroky</t>
  </si>
  <si>
    <t>Mực in laser</t>
  </si>
  <si>
    <t>Mực in Lazer (A4)</t>
  </si>
  <si>
    <t>Mực in Lazer (A3)</t>
  </si>
  <si>
    <t>Mực in phun ( 4 hộp 4 màu)</t>
  </si>
  <si>
    <t>Mực màu</t>
  </si>
  <si>
    <t>Tuýt</t>
  </si>
  <si>
    <t>Số liệu tọa độ điểm gốc</t>
  </si>
  <si>
    <t>Số liệu độ cao điểm gốc</t>
  </si>
  <si>
    <t>Số liệu tọa độ điểm cũ</t>
  </si>
  <si>
    <t>Số liệu độ cao điểm cũ</t>
  </si>
  <si>
    <t>Bản đồ ĐGHC 364/CT (đã được chỉnh lý, bổ sung hoàn thiện năm 2015)</t>
  </si>
  <si>
    <t>Cọc gỗ 4x30 cm + đinh 3cm</t>
  </si>
  <si>
    <t>Bảng thống kê hiện trạng đo đạc địa chính các loại đất</t>
  </si>
  <si>
    <t>Mực in Plotter (6 hộp 6 màu)</t>
  </si>
  <si>
    <t>Mực Photocopy A0</t>
  </si>
  <si>
    <t>Sổ mục kê</t>
  </si>
  <si>
    <t>Thuốc tẩy rửa</t>
  </si>
  <si>
    <t>Khăn mặt</t>
  </si>
  <si>
    <t>Khăn lau máy</t>
  </si>
  <si>
    <t>Bản đồ gốc</t>
  </si>
  <si>
    <t>Cồn công nghiệp</t>
  </si>
  <si>
    <t>Bóng đèn máy quét</t>
  </si>
  <si>
    <t>Ngòi bút vẽ kỹ thuật</t>
  </si>
  <si>
    <t>Giấy chứng nhận</t>
  </si>
  <si>
    <t>Đơn đề nghị cấp Giấy chứng nhận</t>
  </si>
  <si>
    <t>Đơn đăng ký biến động đất đai</t>
  </si>
  <si>
    <t>Bảng đồ địa chất</t>
  </si>
  <si>
    <t>Bút chì màu</t>
  </si>
  <si>
    <t>Bản đồ ĐGHC</t>
  </si>
  <si>
    <t>Bìa sổ (2 tờ/sổ)</t>
  </si>
  <si>
    <t>Hộp ghim kẹp</t>
  </si>
  <si>
    <t>Hộp ghim dập</t>
  </si>
  <si>
    <t>Bút xoay đơn</t>
  </si>
  <si>
    <t>Giấy ghi chú</t>
  </si>
  <si>
    <t>Xấp</t>
  </si>
  <si>
    <t>Hộp đựng tài liệu</t>
  </si>
  <si>
    <t>Xà phòng</t>
  </si>
  <si>
    <t>Giẻ lau máy</t>
  </si>
  <si>
    <t>Amoniac</t>
  </si>
  <si>
    <t>ml</t>
  </si>
  <si>
    <t>Bút khắc</t>
  </si>
  <si>
    <t>Bóng đèn halogen</t>
  </si>
  <si>
    <t>Phấn tan</t>
  </si>
  <si>
    <t>Gam</t>
  </si>
  <si>
    <t>Thuốc hiện bản diazo</t>
  </si>
  <si>
    <t>Mực đen nhuộm bản</t>
  </si>
  <si>
    <t>Keo PVA</t>
  </si>
  <si>
    <t>Mút trà bản</t>
  </si>
  <si>
    <t>Axetol</t>
  </si>
  <si>
    <t>Dầu Diezen</t>
  </si>
  <si>
    <t>Bàn chải</t>
  </si>
  <si>
    <t>Dầu pha mực</t>
  </si>
  <si>
    <t>Mực trắng trong, đục</t>
  </si>
  <si>
    <t>Mỡ bôi máy</t>
  </si>
  <si>
    <t>Giấy ráp</t>
  </si>
  <si>
    <t>Dầu mazut</t>
  </si>
  <si>
    <t>Dầu áp lực máy</t>
  </si>
  <si>
    <t>Cao su in (105x94cm)</t>
  </si>
  <si>
    <r>
      <t>m</t>
    </r>
    <r>
      <rPr>
        <vertAlign val="superscript"/>
        <sz val="12"/>
        <rFont val="Times New Roman"/>
        <family val="1"/>
      </rPr>
      <t>2</t>
    </r>
  </si>
  <si>
    <t>Dạ bọc ống</t>
  </si>
  <si>
    <t>Bìa lót ống</t>
  </si>
  <si>
    <t>m</t>
  </si>
  <si>
    <t>Xốp lau bàn</t>
  </si>
  <si>
    <t>Dây coroa</t>
  </si>
  <si>
    <t>Lô nỉ</t>
  </si>
  <si>
    <t>Mực in thật</t>
  </si>
  <si>
    <t>Kẽm Diazo</t>
  </si>
  <si>
    <t>Đèn đỏ</t>
  </si>
  <si>
    <t>Cồn 96o</t>
  </si>
  <si>
    <t>Thuốc hiện 6 phim</t>
  </si>
  <si>
    <t>Thuốc định 6 phim</t>
  </si>
  <si>
    <t>Phim (82x112)cm</t>
  </si>
  <si>
    <t>Phim</t>
  </si>
  <si>
    <t xml:space="preserve">Nước tráng phim </t>
  </si>
  <si>
    <t>Thiết bị</t>
  </si>
  <si>
    <t>Ô tô 7-9 chỗ</t>
  </si>
  <si>
    <t>Toàn đạc điện tử</t>
  </si>
  <si>
    <t>Máy bộ đàm</t>
  </si>
  <si>
    <t>Máy vi tính xách tay</t>
  </si>
  <si>
    <t>Máy vi tính PC</t>
  </si>
  <si>
    <t>Máy in Lazer A4</t>
  </si>
  <si>
    <t>Điều hoà</t>
  </si>
  <si>
    <t>Máy tính để bản, phần mềm</t>
  </si>
  <si>
    <t>Máy quét (A3, A4)</t>
  </si>
  <si>
    <t>Máy in Lazer A3</t>
  </si>
  <si>
    <t>Máy in laser 0,5 kW</t>
  </si>
  <si>
    <t>Máy Photocopy</t>
  </si>
  <si>
    <t>Máy photo A0</t>
  </si>
  <si>
    <t>Máy tính để bàn có hệ điều hành Windows bản quyền</t>
  </si>
  <si>
    <t>Máy server có hệ điều hành Windows server bản quyền</t>
  </si>
  <si>
    <t>Máy Scan A4</t>
  </si>
  <si>
    <t>Thiết bị lưu trữ hồ sơ quét</t>
  </si>
  <si>
    <t>Thiết bị mạng</t>
  </si>
  <si>
    <t>Phần mềm</t>
  </si>
  <si>
    <t>Phần mềm biên tập bản đồ</t>
  </si>
  <si>
    <t>Bản</t>
  </si>
  <si>
    <t>Phần mềm vẽ bản đồ</t>
  </si>
  <si>
    <t>Phần mềm số hóa</t>
  </si>
  <si>
    <t>Máy xử lý phim</t>
  </si>
  <si>
    <t>Máy đo kiểm tra phim</t>
  </si>
  <si>
    <t>Máy soát phim</t>
  </si>
  <si>
    <t>Máy in phim (Mapsecter)</t>
  </si>
  <si>
    <t>Máy phơi bản</t>
  </si>
  <si>
    <t>Máy hiện bản</t>
  </si>
  <si>
    <t>Máy in thật</t>
  </si>
  <si>
    <t>Máy nâng giấy</t>
  </si>
  <si>
    <t>Máy xén giấy</t>
  </si>
  <si>
    <t>Phần mềm ArcGis Pro Basic-Standalone</t>
  </si>
  <si>
    <t>Phần mềm MicroStation</t>
  </si>
  <si>
    <t>Phần mềm Mapinfo  Pro Standard</t>
  </si>
  <si>
    <t>Phần mềm CorelDRAW</t>
  </si>
  <si>
    <t>Phần mềm Adobe Acrobat</t>
  </si>
  <si>
    <t>GIÁ DỤNG CỤ, THIẾT BỊ, VẬT LIỆU CHỨNG THƯ SỐ 103/2026/48/ĐS-CIVS</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</si>
</sst>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_(* \(#,##0\);_(* &quot;-&quot;_);_(@_)"/>
    <numFmt numFmtId="43" formatCode="_(* #,##0.00_);_(* \(#,##0.00\);_(* &quot;-&quot;??_);_(@_)"/>
    <numFmt numFmtId="164" formatCode="_(* #,##0.0_);_(* \(#,##0.0\);_(* &quot;-&quot;??_);_(@_)"/>
    <numFmt numFmtId="165" formatCode="_(* #,##0_);_(* \(#,##0\);_(* &quot;-&quot;??_);_(@_)"/>
    <numFmt numFmtId="166" formatCode="0.000"/>
    <numFmt numFmtId="167" formatCode="&quot;\&quot;#,##0;[Red]&quot;\&quot;\-#,##0"/>
    <numFmt numFmtId="168" formatCode="&quot;\&quot;#,##0.00;[Red]&quot;\&quot;\-#,##0.00"/>
    <numFmt numFmtId="169" formatCode="\$#,##0\ ;\(\$#,##0\)"/>
    <numFmt numFmtId="170" formatCode="&quot;\&quot;#,##0;[Red]&quot;\&quot;&quot;\&quot;\-#,##0"/>
    <numFmt numFmtId="171" formatCode="&quot;\&quot;#,##0.00;[Red]&quot;\&quot;&quot;\&quot;&quot;\&quot;&quot;\&quot;&quot;\&quot;&quot;\&quot;\-#,##0.00"/>
    <numFmt numFmtId="172" formatCode="#,##0.0"/>
    <numFmt numFmtId="173" formatCode="#,##0.000"/>
    <numFmt numFmtId="174" formatCode="_(* #,##0.000_);_(* \(#,##0.000\);_(* &quot;-&quot;??_);_(@_)"/>
    <numFmt numFmtId="175" formatCode="0.0%"/>
    <numFmt numFmtId="176" formatCode="_(* #,##0.0000_);_(* \(#,##0.0000\);_(* &quot;-&quot;??_);_(@_)"/>
    <numFmt numFmtId="177" formatCode="\(#\ &quot;giờ&quot;\)"/>
    <numFmt numFmtId="178" formatCode="#,##0.0000"/>
    <numFmt numFmtId="179" formatCode="#,##0;[Red]#,##0"/>
  </numFmts>
  <fonts count="108">
    <font>
      <sz val="12"/>
      <name val=".VnTime"/>
    </font>
    <font>
      <sz val="12"/>
      <name val=".VnTime"/>
    </font>
    <font>
      <sz val="11"/>
      <name val=".VnTime"/>
      <family val="2"/>
    </font>
    <font>
      <sz val="10"/>
      <name val=".VnTime"/>
      <family val="2"/>
    </font>
    <font>
      <sz val="8"/>
      <name val=".VnTime"/>
      <family val="2"/>
    </font>
    <font>
      <sz val="10"/>
      <name val="Arial"/>
      <family val="2"/>
    </font>
    <font>
      <b/>
      <sz val="18"/>
      <name val="Arial"/>
      <family val="2"/>
    </font>
    <font>
      <b/>
      <sz val="12"/>
      <name val="Arial"/>
      <family val="2"/>
    </font>
    <font>
      <sz val="14"/>
      <name val="뼻뮝"/>
      <family val="3"/>
      <charset val="129"/>
    </font>
    <font>
      <sz val="12"/>
      <name val="뼻뮝"/>
      <family val="1"/>
      <charset val="129"/>
    </font>
    <font>
      <sz val="12"/>
      <name val="바탕체"/>
      <family val="1"/>
      <charset val="129"/>
    </font>
    <font>
      <sz val="10"/>
      <name val="굴림체"/>
      <family val="3"/>
      <charset val="129"/>
    </font>
    <font>
      <b/>
      <sz val="14"/>
      <name val="Times New Roman"/>
      <family val="1"/>
    </font>
    <font>
      <sz val="14"/>
      <name val="Times New Roman"/>
      <family val="1"/>
    </font>
    <font>
      <sz val="11"/>
      <color indexed="8"/>
      <name val="Arial"/>
      <family val="2"/>
      <charset val="163"/>
    </font>
    <font>
      <sz val="11"/>
      <color indexed="9"/>
      <name val="Arial"/>
      <family val="2"/>
      <charset val="163"/>
    </font>
    <font>
      <sz val="11"/>
      <color indexed="20"/>
      <name val="Arial"/>
      <family val="2"/>
      <charset val="163"/>
    </font>
    <font>
      <b/>
      <sz val="11"/>
      <color indexed="52"/>
      <name val="Arial"/>
      <family val="2"/>
      <charset val="163"/>
    </font>
    <font>
      <b/>
      <sz val="11"/>
      <color indexed="9"/>
      <name val="Arial"/>
      <family val="2"/>
      <charset val="163"/>
    </font>
    <font>
      <i/>
      <sz val="11"/>
      <color indexed="23"/>
      <name val="Arial"/>
      <family val="2"/>
      <charset val="163"/>
    </font>
    <font>
      <sz val="11"/>
      <color indexed="17"/>
      <name val="Arial"/>
      <family val="2"/>
      <charset val="163"/>
    </font>
    <font>
      <b/>
      <sz val="11"/>
      <color indexed="56"/>
      <name val="Arial"/>
      <family val="2"/>
      <charset val="163"/>
    </font>
    <font>
      <sz val="11"/>
      <color indexed="62"/>
      <name val="Arial"/>
      <family val="2"/>
      <charset val="163"/>
    </font>
    <font>
      <sz val="11"/>
      <color indexed="52"/>
      <name val="Arial"/>
      <family val="2"/>
      <charset val="163"/>
    </font>
    <font>
      <sz val="11"/>
      <color indexed="60"/>
      <name val="Arial"/>
      <family val="2"/>
      <charset val="163"/>
    </font>
    <font>
      <b/>
      <sz val="11"/>
      <color indexed="63"/>
      <name val="Arial"/>
      <family val="2"/>
      <charset val="163"/>
    </font>
    <font>
      <b/>
      <sz val="18"/>
      <color indexed="56"/>
      <name val="Times New Roman"/>
      <family val="2"/>
      <charset val="163"/>
    </font>
    <font>
      <sz val="11"/>
      <color indexed="10"/>
      <name val="Arial"/>
      <family val="2"/>
      <charset val="163"/>
    </font>
    <font>
      <sz val="12"/>
      <name val="Times New Roman"/>
      <family val="1"/>
    </font>
    <font>
      <b/>
      <u/>
      <sz val="12"/>
      <name val="Times New Roman"/>
      <family val="1"/>
    </font>
    <font>
      <b/>
      <sz val="12"/>
      <name val="Times New Roman"/>
      <family val="1"/>
    </font>
    <font>
      <i/>
      <sz val="12"/>
      <name val="Times New Roman"/>
      <family val="1"/>
    </font>
    <font>
      <b/>
      <sz val="12"/>
      <color indexed="12"/>
      <name val="Times New Roman"/>
      <family val="1"/>
    </font>
    <font>
      <sz val="12"/>
      <name val=".VnTime"/>
      <family val="2"/>
    </font>
    <font>
      <b/>
      <i/>
      <sz val="12"/>
      <name val="Times New Roman"/>
      <family val="1"/>
    </font>
    <font>
      <sz val="10"/>
      <name val="Times New Roman"/>
      <family val="1"/>
    </font>
    <font>
      <b/>
      <sz val="10"/>
      <name val="Times New Roman"/>
      <family val="1"/>
    </font>
    <font>
      <i/>
      <sz val="10"/>
      <name val="Times New Roman"/>
      <family val="1"/>
    </font>
    <font>
      <sz val="8"/>
      <name val="Times New Roman"/>
      <family val="1"/>
    </font>
    <font>
      <i/>
      <sz val="12"/>
      <color indexed="12"/>
      <name val="Times New Roman"/>
      <family val="1"/>
    </font>
    <font>
      <b/>
      <sz val="12"/>
      <name val="Times New Roman"/>
      <family val="1"/>
      <charset val="163"/>
    </font>
    <font>
      <b/>
      <i/>
      <sz val="12"/>
      <color indexed="12"/>
      <name val="Times New Roman"/>
      <family val="1"/>
      <charset val="163"/>
    </font>
    <font>
      <b/>
      <i/>
      <sz val="12"/>
      <color indexed="12"/>
      <name val="Times New Roman"/>
      <family val="1"/>
    </font>
    <font>
      <sz val="10"/>
      <name val="Arial"/>
      <family val="2"/>
    </font>
    <font>
      <b/>
      <sz val="11"/>
      <name val="Times New Roman"/>
      <family val="1"/>
    </font>
    <font>
      <sz val="11"/>
      <name val="Times New Roman"/>
      <family val="1"/>
    </font>
    <font>
      <i/>
      <sz val="11"/>
      <name val="Times New Roman"/>
      <family val="1"/>
    </font>
    <font>
      <sz val="13"/>
      <name val="Times New Roman"/>
      <family val="1"/>
    </font>
    <font>
      <sz val="8"/>
      <name val=".VnTime"/>
    </font>
    <font>
      <sz val="12"/>
      <color rgb="FF0000FF"/>
      <name val="Times New Roman"/>
      <family val="1"/>
    </font>
    <font>
      <b/>
      <sz val="12"/>
      <color rgb="FF0000FF"/>
      <name val="Times New Roman"/>
      <family val="1"/>
    </font>
    <font>
      <b/>
      <i/>
      <sz val="12"/>
      <color rgb="FF0000FF"/>
      <name val="Times New Roman"/>
      <family val="1"/>
    </font>
    <font>
      <sz val="12"/>
      <color rgb="FF0066FF"/>
      <name val="Times New Roman"/>
      <family val="1"/>
    </font>
    <font>
      <i/>
      <sz val="10"/>
      <color rgb="FFFF0000"/>
      <name val="Times New Roman"/>
      <family val="1"/>
    </font>
    <font>
      <sz val="10"/>
      <color rgb="FFFF0000"/>
      <name val="Times New Roman"/>
      <family val="1"/>
    </font>
    <font>
      <b/>
      <i/>
      <sz val="12"/>
      <color rgb="FF0000FF"/>
      <name val="Times New Roman"/>
      <family val="1"/>
      <charset val="163"/>
    </font>
    <font>
      <sz val="10"/>
      <color rgb="FF0070C0"/>
      <name val="Times New Roman"/>
      <family val="1"/>
    </font>
    <font>
      <i/>
      <sz val="10"/>
      <color rgb="FF0070C0"/>
      <name val="Times New Roman"/>
      <family val="1"/>
    </font>
    <font>
      <sz val="11"/>
      <color rgb="FF0070C0"/>
      <name val="Times New Roman"/>
      <family val="1"/>
    </font>
    <font>
      <i/>
      <sz val="11"/>
      <color rgb="FF0070C0"/>
      <name val="Times New Roman"/>
      <family val="1"/>
    </font>
    <font>
      <sz val="11"/>
      <color rgb="FFFF0000"/>
      <name val="Times New Roman"/>
      <family val="1"/>
    </font>
    <font>
      <b/>
      <sz val="12"/>
      <color rgb="FF0066FF"/>
      <name val="Times New Roman"/>
      <family val="1"/>
    </font>
    <font>
      <b/>
      <sz val="13"/>
      <color rgb="FFCC00FF"/>
      <name val="Times New Roman"/>
      <family val="1"/>
    </font>
    <font>
      <sz val="12"/>
      <color rgb="FF0070C0"/>
      <name val="Times New Roman"/>
      <family val="1"/>
    </font>
    <font>
      <sz val="10"/>
      <color rgb="FF00B0F0"/>
      <name val="Times New Roman"/>
      <family val="1"/>
    </font>
    <font>
      <b/>
      <sz val="10"/>
      <color rgb="FF0070C0"/>
      <name val="Times New Roman"/>
      <family val="1"/>
    </font>
    <font>
      <b/>
      <sz val="12"/>
      <color rgb="FFFF0000"/>
      <name val="Times New Roman"/>
      <family val="1"/>
    </font>
    <font>
      <sz val="12"/>
      <color rgb="FFFF0000"/>
      <name val="Times New Roman"/>
      <family val="1"/>
    </font>
    <font>
      <b/>
      <i/>
      <sz val="10"/>
      <color rgb="FF0070C0"/>
      <name val="Times New Roman"/>
      <family val="1"/>
    </font>
    <font>
      <sz val="10"/>
      <color rgb="FF0070C0"/>
      <name val="Courier New"/>
      <family val="3"/>
    </font>
    <font>
      <b/>
      <sz val="10"/>
      <color theme="1"/>
      <name val="Times New Roman"/>
      <family val="1"/>
    </font>
    <font>
      <b/>
      <sz val="10"/>
      <color theme="0"/>
      <name val="Times New Roman"/>
      <family val="1"/>
    </font>
    <font>
      <sz val="10"/>
      <color theme="0"/>
      <name val="Times New Roman"/>
      <family val="1"/>
    </font>
    <font>
      <sz val="10"/>
      <color theme="1"/>
      <name val="Times New Roman"/>
      <family val="1"/>
    </font>
    <font>
      <i/>
      <sz val="10"/>
      <color theme="1"/>
      <name val="Times New Roman"/>
      <family val="1"/>
    </font>
    <font>
      <i/>
      <sz val="10"/>
      <color theme="0"/>
      <name val="Times New Roman"/>
      <family val="1"/>
    </font>
    <font>
      <b/>
      <i/>
      <sz val="12"/>
      <color theme="4"/>
      <name val="Times New Roman"/>
      <family val="1"/>
    </font>
    <font>
      <sz val="12"/>
      <color theme="4"/>
      <name val="Times New Roman"/>
      <family val="1"/>
    </font>
    <font>
      <b/>
      <sz val="12"/>
      <color theme="4"/>
      <name val="Times New Roman"/>
      <family val="1"/>
    </font>
    <font>
      <b/>
      <i/>
      <sz val="12"/>
      <color rgb="FFFF0000"/>
      <name val="Times New Roman"/>
      <family val="1"/>
    </font>
    <font>
      <b/>
      <i/>
      <sz val="12"/>
      <color rgb="FF0070C0"/>
      <name val="Times New Roman"/>
      <family val="1"/>
    </font>
    <font>
      <sz val="12"/>
      <color theme="1"/>
      <name val="Times New Roman"/>
      <family val="1"/>
    </font>
    <font>
      <b/>
      <sz val="13"/>
      <name val="Times New Roman"/>
      <family val="1"/>
    </font>
    <font>
      <sz val="10"/>
      <color rgb="FF00B050"/>
      <name val="Times New Roman"/>
      <family val="1"/>
    </font>
    <font>
      <b/>
      <sz val="10"/>
      <color rgb="FFFF0000"/>
      <name val="Times New Roman"/>
      <family val="1"/>
    </font>
    <font>
      <b/>
      <sz val="12"/>
      <name val=".VnTime"/>
    </font>
    <font>
      <b/>
      <sz val="10"/>
      <color rgb="FF00B050"/>
      <name val="Times New Roman"/>
      <family val="1"/>
    </font>
    <font>
      <sz val="12"/>
      <color rgb="FFFF0000"/>
      <name val=".VnTime"/>
    </font>
    <font>
      <sz val="12"/>
      <color rgb="FF00B050"/>
      <name val="Times New Roman"/>
      <family val="1"/>
    </font>
    <font>
      <sz val="13"/>
      <color rgb="FFFF0000"/>
      <name val="Times New Roman"/>
      <family val="1"/>
    </font>
    <font>
      <b/>
      <sz val="7"/>
      <name val="Times New Roman"/>
      <family val="1"/>
    </font>
    <font>
      <sz val="7"/>
      <name val="Times New Roman"/>
      <family val="1"/>
    </font>
    <font>
      <sz val="7"/>
      <name val=".VnTime"/>
    </font>
    <font>
      <b/>
      <sz val="7"/>
      <name val=".VnTime"/>
    </font>
    <font>
      <b/>
      <i/>
      <sz val="7"/>
      <name val="Times New Roman"/>
      <family val="1"/>
    </font>
    <font>
      <i/>
      <sz val="7"/>
      <name val="Times New Roman"/>
      <family val="1"/>
    </font>
    <font>
      <b/>
      <sz val="10"/>
      <color rgb="FFFF0000"/>
      <name val="Times New Roman"/>
      <family val="1"/>
      <charset val="163"/>
    </font>
    <font>
      <b/>
      <sz val="12"/>
      <color rgb="FF00B050"/>
      <name val="Times New Roman"/>
      <family val="1"/>
    </font>
    <font>
      <b/>
      <sz val="7"/>
      <color rgb="FF00B050"/>
      <name val="Times New Roman"/>
      <family val="1"/>
    </font>
    <font>
      <sz val="7"/>
      <color rgb="FF00B050"/>
      <name val="Times New Roman"/>
      <family val="1"/>
    </font>
    <font>
      <b/>
      <i/>
      <sz val="7"/>
      <color rgb="FF00B050"/>
      <name val="Times New Roman"/>
      <family val="1"/>
    </font>
    <font>
      <b/>
      <sz val="12"/>
      <color rgb="FFFF0000"/>
      <name val=".VnTime"/>
    </font>
    <font>
      <sz val="14"/>
      <color rgb="FFFF0000"/>
      <name val="Times New Roman"/>
      <family val="1"/>
      <charset val="163"/>
    </font>
    <font>
      <sz val="12"/>
      <name val="Arial"/>
      <family val="2"/>
    </font>
    <font>
      <vertAlign val="superscript"/>
      <sz val="12"/>
      <name val="Times New Roman"/>
      <family val="1"/>
    </font>
    <font>
      <sz val="12"/>
      <color rgb="FFFF0000"/>
      <name val="Arial"/>
      <family val="2"/>
    </font>
    <font>
      <b/>
      <sz val="12"/>
      <color rgb="FF000000"/>
      <name val="Times New Roman"/>
      <family val="1"/>
    </font>
    <font>
      <sz val="12"/>
      <color rgb="FF000000"/>
      <name val="Times New Roman"/>
      <family val="1"/>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theme="9" tint="0.3999450666829432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92D05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dotted">
        <color indexed="64"/>
      </top>
      <bottom style="dotted">
        <color indexed="64"/>
      </bottom>
      <diagonal/>
    </border>
    <border>
      <left/>
      <right/>
      <top style="double">
        <color indexed="64"/>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hair">
        <color indexed="64"/>
      </bottom>
      <diagonal/>
    </border>
    <border>
      <left style="thin">
        <color indexed="64"/>
      </left>
      <right/>
      <top/>
      <bottom style="thin">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thin">
        <color indexed="64"/>
      </right>
      <top/>
      <bottom style="thin">
        <color indexed="64"/>
      </bottom>
      <diagonal/>
    </border>
    <border>
      <left/>
      <right style="thin">
        <color indexed="64"/>
      </right>
      <top style="hair">
        <color indexed="64"/>
      </top>
      <bottom style="medium">
        <color indexed="64"/>
      </bottom>
      <diagonal/>
    </border>
    <border>
      <left/>
      <right style="thin">
        <color indexed="64"/>
      </right>
      <top style="thin">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477">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43" fontId="1" fillId="0" borderId="0" applyFont="0" applyFill="0" applyBorder="0" applyAlignment="0" applyProtection="0"/>
    <xf numFmtId="43" fontId="3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 fillId="0" borderId="0" applyFont="0" applyFill="0" applyBorder="0" applyAlignment="0" applyProtection="0"/>
    <xf numFmtId="43" fontId="33" fillId="0" borderId="0" applyFont="0" applyFill="0" applyBorder="0" applyAlignment="0" applyProtection="0"/>
    <xf numFmtId="43" fontId="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 fontId="5" fillId="0" borderId="0" applyFont="0" applyFill="0" applyBorder="0" applyAlignment="0" applyProtection="0"/>
    <xf numFmtId="169" fontId="5" fillId="0" borderId="0" applyFont="0" applyFill="0" applyBorder="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5"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2" fontId="5" fillId="0" borderId="0" applyFont="0" applyFill="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7" fillId="0" borderId="3" applyNumberFormat="0" applyAlignment="0" applyProtection="0">
      <alignment horizontal="left" vertical="center"/>
    </xf>
    <xf numFmtId="0" fontId="7" fillId="0" borderId="4">
      <alignment horizontal="left" vertical="center"/>
    </xf>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33" fillId="0" borderId="0"/>
    <xf numFmtId="0" fontId="43"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9" fontId="1" fillId="0" borderId="0" applyFont="0" applyFill="0" applyBorder="0" applyAlignment="0" applyProtection="0"/>
    <xf numFmtId="0" fontId="2" fillId="0" borderId="9">
      <alignment horizontal="center"/>
      <protection locked="0"/>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5" fillId="0" borderId="10" applyNumberFormat="0" applyFon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0" fontId="8" fillId="0" borderId="0" applyFont="0" applyFill="0" applyBorder="0" applyAlignment="0" applyProtection="0"/>
    <xf numFmtId="38"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0" fontId="5" fillId="0" borderId="0" applyFont="0" applyFill="0" applyBorder="0" applyAlignment="0" applyProtection="0"/>
    <xf numFmtId="0" fontId="9" fillId="0" borderId="0"/>
    <xf numFmtId="170" fontId="5" fillId="0" borderId="0" applyFont="0" applyFill="0" applyBorder="0" applyAlignment="0" applyProtection="0"/>
    <xf numFmtId="171" fontId="5" fillId="0" borderId="0" applyFont="0" applyFill="0" applyBorder="0" applyAlignment="0" applyProtection="0"/>
    <xf numFmtId="168" fontId="10" fillId="0" borderId="0" applyFont="0" applyFill="0" applyBorder="0" applyAlignment="0" applyProtection="0"/>
    <xf numFmtId="167" fontId="10" fillId="0" borderId="0" applyFont="0" applyFill="0" applyBorder="0" applyAlignment="0" applyProtection="0"/>
    <xf numFmtId="0" fontId="11" fillId="0" borderId="0"/>
    <xf numFmtId="0" fontId="81" fillId="0" borderId="0"/>
    <xf numFmtId="41" fontId="1" fillId="0" borderId="0" applyFont="0" applyFill="0" applyBorder="0" applyAlignment="0" applyProtection="0"/>
  </cellStyleXfs>
  <cellXfs count="1107">
    <xf numFmtId="0" fontId="0" fillId="0" borderId="0" xfId="0"/>
    <xf numFmtId="0" fontId="13" fillId="0" borderId="0" xfId="0" applyFont="1"/>
    <xf numFmtId="0" fontId="28" fillId="0" borderId="0" xfId="0" applyFont="1" applyAlignment="1">
      <alignment horizontal="center"/>
    </xf>
    <xf numFmtId="0" fontId="28" fillId="0" borderId="0" xfId="0" applyFont="1"/>
    <xf numFmtId="0" fontId="28" fillId="0" borderId="0" xfId="0" applyFont="1" applyAlignment="1">
      <alignment vertical="center"/>
    </xf>
    <xf numFmtId="0" fontId="30" fillId="0" borderId="0" xfId="0" applyFont="1" applyAlignment="1">
      <alignment vertical="center" wrapText="1"/>
    </xf>
    <xf numFmtId="0" fontId="28" fillId="0" borderId="11" xfId="0" applyFont="1" applyBorder="1" applyAlignment="1">
      <alignment horizontal="center" vertical="center" wrapText="1"/>
    </xf>
    <xf numFmtId="3" fontId="28" fillId="0" borderId="11" xfId="0" applyNumberFormat="1" applyFont="1" applyBorder="1" applyAlignment="1">
      <alignment vertical="center"/>
    </xf>
    <xf numFmtId="0" fontId="30" fillId="0" borderId="11" xfId="0" applyFont="1" applyBorder="1" applyAlignment="1">
      <alignment horizontal="center" vertical="center" wrapText="1"/>
    </xf>
    <xf numFmtId="0" fontId="32" fillId="0" borderId="0" xfId="0" applyFont="1" applyAlignment="1">
      <alignment vertical="center" wrapText="1"/>
    </xf>
    <xf numFmtId="3" fontId="30" fillId="0" borderId="11" xfId="0" applyNumberFormat="1" applyFont="1" applyBorder="1" applyAlignment="1">
      <alignment vertical="center"/>
    </xf>
    <xf numFmtId="0" fontId="30" fillId="0" borderId="0" xfId="0" applyFont="1" applyAlignment="1">
      <alignment vertical="center"/>
    </xf>
    <xf numFmtId="3" fontId="28" fillId="0" borderId="11" xfId="261" applyNumberFormat="1" applyFont="1" applyBorder="1" applyAlignment="1">
      <alignment horizontal="right" vertical="center"/>
    </xf>
    <xf numFmtId="3" fontId="28" fillId="0" borderId="13" xfId="0" applyNumberFormat="1" applyFont="1" applyBorder="1" applyAlignment="1">
      <alignment horizontal="right" vertical="center"/>
    </xf>
    <xf numFmtId="3" fontId="30" fillId="0" borderId="13" xfId="0" applyNumberFormat="1" applyFont="1" applyBorder="1" applyAlignment="1">
      <alignment horizontal="right" vertical="center"/>
    </xf>
    <xf numFmtId="0" fontId="30" fillId="24" borderId="15" xfId="0" applyFont="1" applyFill="1" applyBorder="1" applyAlignment="1">
      <alignment horizontal="center" vertical="center" wrapText="1"/>
    </xf>
    <xf numFmtId="0" fontId="30" fillId="24" borderId="16" xfId="0" applyFont="1" applyFill="1" applyBorder="1" applyAlignment="1">
      <alignment horizontal="center" vertical="center" wrapText="1"/>
    </xf>
    <xf numFmtId="2" fontId="28" fillId="0" borderId="0" xfId="0" applyNumberFormat="1" applyFont="1"/>
    <xf numFmtId="0" fontId="35" fillId="0" borderId="0" xfId="0" applyFont="1" applyAlignment="1">
      <alignment horizontal="center"/>
    </xf>
    <xf numFmtId="49" fontId="35" fillId="0" borderId="0" xfId="0" applyNumberFormat="1" applyFont="1" applyAlignment="1">
      <alignment horizontal="center"/>
    </xf>
    <xf numFmtId="0" fontId="35" fillId="0" borderId="0" xfId="0" applyFont="1"/>
    <xf numFmtId="0" fontId="12" fillId="0" borderId="0" xfId="0" applyFont="1"/>
    <xf numFmtId="3" fontId="35" fillId="0" borderId="0" xfId="0" applyNumberFormat="1" applyFont="1"/>
    <xf numFmtId="0" fontId="36" fillId="0" borderId="0" xfId="0" applyFont="1" applyAlignment="1">
      <alignment horizontal="center" vertical="center"/>
    </xf>
    <xf numFmtId="0" fontId="36" fillId="0" borderId="0" xfId="0" applyFont="1" applyAlignment="1">
      <alignment horizontal="center"/>
    </xf>
    <xf numFmtId="0" fontId="28" fillId="0" borderId="0" xfId="0" applyFont="1" applyAlignment="1">
      <alignment horizontal="center" vertical="center"/>
    </xf>
    <xf numFmtId="172" fontId="28" fillId="0" borderId="0" xfId="0" applyNumberFormat="1" applyFont="1" applyAlignment="1">
      <alignment horizontal="right" vertical="center"/>
    </xf>
    <xf numFmtId="3" fontId="28" fillId="0" borderId="0" xfId="0" applyNumberFormat="1" applyFont="1" applyAlignment="1">
      <alignment vertical="center"/>
    </xf>
    <xf numFmtId="0" fontId="28" fillId="0" borderId="12" xfId="0" applyFont="1" applyBorder="1" applyAlignment="1">
      <alignment horizontal="center" vertical="center"/>
    </xf>
    <xf numFmtId="0" fontId="28" fillId="0" borderId="11" xfId="0" applyFont="1" applyBorder="1" applyAlignment="1">
      <alignment horizontal="left" vertical="center" wrapText="1"/>
    </xf>
    <xf numFmtId="0" fontId="34" fillId="0" borderId="0" xfId="0" applyFont="1" applyAlignment="1">
      <alignment vertical="center"/>
    </xf>
    <xf numFmtId="3" fontId="28" fillId="0" borderId="18" xfId="0" applyNumberFormat="1" applyFont="1" applyBorder="1" applyAlignment="1">
      <alignment horizontal="right" vertical="center"/>
    </xf>
    <xf numFmtId="0" fontId="28" fillId="0" borderId="20" xfId="0" applyFont="1" applyBorder="1" applyAlignment="1">
      <alignment horizontal="center" vertical="center" wrapText="1"/>
    </xf>
    <xf numFmtId="3" fontId="28" fillId="0" borderId="20" xfId="0" applyNumberFormat="1" applyFont="1" applyBorder="1" applyAlignment="1">
      <alignment vertical="center"/>
    </xf>
    <xf numFmtId="172" fontId="49" fillId="0" borderId="0" xfId="0" applyNumberFormat="1" applyFont="1" applyAlignment="1">
      <alignment horizontal="right" vertical="center"/>
    </xf>
    <xf numFmtId="165" fontId="28" fillId="0" borderId="11" xfId="261" applyNumberFormat="1" applyFont="1" applyBorder="1" applyAlignment="1">
      <alignment horizontal="right" vertical="center"/>
    </xf>
    <xf numFmtId="165" fontId="28" fillId="0" borderId="0" xfId="261" applyNumberFormat="1" applyFont="1" applyAlignment="1">
      <alignment horizontal="right" vertical="center"/>
    </xf>
    <xf numFmtId="0" fontId="34" fillId="0" borderId="0" xfId="0" applyFont="1" applyAlignment="1">
      <alignment vertical="center" wrapText="1"/>
    </xf>
    <xf numFmtId="0" fontId="28" fillId="0" borderId="0" xfId="0" applyFont="1" applyAlignment="1">
      <alignment vertical="center" wrapText="1"/>
    </xf>
    <xf numFmtId="0" fontId="28" fillId="0" borderId="0" xfId="0" applyFont="1" applyAlignment="1">
      <alignment horizontal="center" vertical="center" wrapText="1"/>
    </xf>
    <xf numFmtId="165" fontId="28" fillId="0" borderId="0" xfId="261" applyNumberFormat="1" applyFont="1" applyAlignment="1">
      <alignment horizontal="center" vertical="center" wrapText="1"/>
    </xf>
    <xf numFmtId="3" fontId="28" fillId="0" borderId="0" xfId="0" applyNumberFormat="1" applyFont="1" applyAlignment="1">
      <alignment horizontal="left" vertical="center" wrapText="1"/>
    </xf>
    <xf numFmtId="3" fontId="28" fillId="0" borderId="0" xfId="0" applyNumberFormat="1" applyFont="1" applyAlignment="1">
      <alignment horizontal="right" vertical="center" wrapText="1"/>
    </xf>
    <xf numFmtId="0" fontId="49" fillId="0" borderId="0" xfId="0" applyFont="1" applyAlignment="1">
      <alignment horizontal="right" vertical="center" wrapText="1"/>
    </xf>
    <xf numFmtId="0" fontId="35" fillId="0" borderId="11" xfId="0" applyFont="1" applyBorder="1" applyAlignment="1">
      <alignment horizontal="center" vertical="center" wrapText="1"/>
    </xf>
    <xf numFmtId="49" fontId="35" fillId="0" borderId="11" xfId="0" applyNumberFormat="1" applyFont="1" applyBorder="1" applyAlignment="1">
      <alignment horizontal="center" vertical="center" wrapText="1"/>
    </xf>
    <xf numFmtId="0" fontId="36" fillId="27" borderId="21" xfId="0" applyFont="1" applyFill="1" applyBorder="1" applyAlignment="1">
      <alignment horizontal="center" vertical="center" wrapText="1"/>
    </xf>
    <xf numFmtId="49" fontId="35" fillId="0" borderId="12" xfId="0" applyNumberFormat="1" applyFont="1" applyBorder="1" applyAlignment="1">
      <alignment horizontal="center" vertical="center" wrapText="1"/>
    </xf>
    <xf numFmtId="0" fontId="36" fillId="0" borderId="0" xfId="0" applyFont="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vertical="center" wrapText="1"/>
    </xf>
    <xf numFmtId="0" fontId="36" fillId="0" borderId="0" xfId="0" applyFont="1" applyAlignment="1">
      <alignment vertical="center" wrapText="1"/>
    </xf>
    <xf numFmtId="0" fontId="36" fillId="0" borderId="0" xfId="0" applyFont="1" applyAlignment="1">
      <alignment horizontal="left" vertical="center" wrapText="1"/>
    </xf>
    <xf numFmtId="49" fontId="35" fillId="0" borderId="0" xfId="0" applyNumberFormat="1" applyFont="1" applyAlignment="1">
      <alignment horizontal="center" vertical="center" wrapText="1"/>
    </xf>
    <xf numFmtId="49" fontId="35" fillId="0" borderId="19" xfId="0" applyNumberFormat="1" applyFont="1" applyBorder="1" applyAlignment="1">
      <alignment horizontal="center" vertical="center" wrapText="1"/>
    </xf>
    <xf numFmtId="0" fontId="35" fillId="0" borderId="20" xfId="0" applyFont="1" applyBorder="1" applyAlignment="1">
      <alignment vertical="center" wrapText="1"/>
    </xf>
    <xf numFmtId="49" fontId="35" fillId="0" borderId="20" xfId="0" applyNumberFormat="1" applyFont="1" applyBorder="1" applyAlignment="1">
      <alignment horizontal="center" vertical="center" wrapText="1"/>
    </xf>
    <xf numFmtId="0" fontId="35" fillId="0" borderId="20" xfId="0" applyFont="1" applyBorder="1" applyAlignment="1">
      <alignment horizontal="center" vertical="center" wrapText="1"/>
    </xf>
    <xf numFmtId="0" fontId="35" fillId="0" borderId="25" xfId="0" applyFont="1" applyBorder="1" applyAlignment="1">
      <alignment horizontal="center" vertical="center" wrapText="1"/>
    </xf>
    <xf numFmtId="0" fontId="36" fillId="27" borderId="26" xfId="0" applyFont="1" applyFill="1" applyBorder="1" applyAlignment="1">
      <alignment horizontal="center" vertical="center" wrapText="1"/>
    </xf>
    <xf numFmtId="0" fontId="13" fillId="0" borderId="0" xfId="0" applyFont="1" applyAlignment="1">
      <alignment vertical="center" wrapText="1"/>
    </xf>
    <xf numFmtId="2" fontId="35" fillId="0" borderId="0" xfId="0" applyNumberFormat="1" applyFont="1" applyAlignment="1">
      <alignment horizontal="center" vertical="center" wrapText="1"/>
    </xf>
    <xf numFmtId="3" fontId="35" fillId="0" borderId="0" xfId="0" applyNumberFormat="1" applyFont="1" applyAlignment="1">
      <alignment horizontal="center" vertical="center" wrapText="1"/>
    </xf>
    <xf numFmtId="165" fontId="35" fillId="0" borderId="0" xfId="262" applyNumberFormat="1" applyFont="1" applyFill="1" applyAlignment="1">
      <alignment horizontal="center" vertical="center" wrapText="1"/>
    </xf>
    <xf numFmtId="49" fontId="36" fillId="28" borderId="27" xfId="0" applyNumberFormat="1" applyFont="1" applyFill="1" applyBorder="1" applyAlignment="1">
      <alignment horizontal="center" vertical="center" wrapText="1"/>
    </xf>
    <xf numFmtId="49" fontId="36" fillId="27" borderId="28" xfId="0" applyNumberFormat="1" applyFont="1" applyFill="1" applyBorder="1" applyAlignment="1">
      <alignment horizontal="center" vertical="center" wrapText="1"/>
    </xf>
    <xf numFmtId="0" fontId="37" fillId="0" borderId="0" xfId="0" applyFont="1" applyAlignment="1">
      <alignment vertical="center" wrapText="1"/>
    </xf>
    <xf numFmtId="3" fontId="35" fillId="0" borderId="13" xfId="0" applyNumberFormat="1" applyFont="1" applyBorder="1" applyAlignment="1">
      <alignment vertical="center" wrapText="1"/>
    </xf>
    <xf numFmtId="2" fontId="35" fillId="0" borderId="20" xfId="0" applyNumberFormat="1" applyFont="1" applyBorder="1" applyAlignment="1">
      <alignment horizontal="center" vertical="center" wrapText="1"/>
    </xf>
    <xf numFmtId="3" fontId="35" fillId="0" borderId="18" xfId="0" applyNumberFormat="1" applyFont="1" applyBorder="1" applyAlignment="1">
      <alignment vertical="center" wrapText="1"/>
    </xf>
    <xf numFmtId="3" fontId="35" fillId="0" borderId="20" xfId="0" applyNumberFormat="1" applyFont="1" applyBorder="1" applyAlignment="1">
      <alignment vertical="center" wrapText="1"/>
    </xf>
    <xf numFmtId="3" fontId="35" fillId="0" borderId="0" xfId="0" applyNumberFormat="1" applyFont="1" applyAlignment="1">
      <alignment vertical="center" wrapText="1"/>
    </xf>
    <xf numFmtId="49" fontId="35" fillId="0" borderId="25" xfId="0" applyNumberFormat="1" applyFont="1" applyBorder="1" applyAlignment="1">
      <alignment horizontal="center" vertical="center" wrapText="1"/>
    </xf>
    <xf numFmtId="0" fontId="12" fillId="0" borderId="0" xfId="0" applyFont="1" applyAlignment="1">
      <alignment horizontal="center"/>
    </xf>
    <xf numFmtId="0" fontId="36" fillId="28" borderId="29" xfId="0" applyFont="1" applyFill="1" applyBorder="1" applyAlignment="1">
      <alignment vertical="center" wrapText="1"/>
    </xf>
    <xf numFmtId="0" fontId="36" fillId="27" borderId="36" xfId="0" applyFont="1" applyFill="1" applyBorder="1" applyAlignment="1">
      <alignment horizontal="left" vertical="center" wrapText="1"/>
    </xf>
    <xf numFmtId="0" fontId="30" fillId="0" borderId="0" xfId="0" applyFont="1" applyAlignment="1">
      <alignment horizontal="center" vertical="center"/>
    </xf>
    <xf numFmtId="0" fontId="30" fillId="0" borderId="0" xfId="0" applyFont="1" applyAlignment="1">
      <alignment horizontal="center" vertical="center" wrapText="1"/>
    </xf>
    <xf numFmtId="3" fontId="35" fillId="0" borderId="0" xfId="0" applyNumberFormat="1" applyFont="1" applyAlignment="1">
      <alignment horizontal="right" vertical="center" wrapText="1"/>
    </xf>
    <xf numFmtId="3" fontId="28" fillId="0" borderId="11" xfId="0" applyNumberFormat="1" applyFont="1" applyBorder="1" applyAlignment="1">
      <alignment horizontal="right" vertical="center"/>
    </xf>
    <xf numFmtId="3" fontId="30" fillId="0" borderId="11" xfId="0" applyNumberFormat="1" applyFont="1" applyBorder="1" applyAlignment="1">
      <alignment horizontal="right" vertical="center"/>
    </xf>
    <xf numFmtId="0" fontId="30" fillId="0" borderId="11" xfId="0" applyFont="1" applyBorder="1" applyAlignment="1">
      <alignment horizontal="left" vertical="center" wrapText="1"/>
    </xf>
    <xf numFmtId="3" fontId="30" fillId="0" borderId="0" xfId="0" applyNumberFormat="1" applyFont="1" applyAlignment="1">
      <alignment vertical="center"/>
    </xf>
    <xf numFmtId="3" fontId="28" fillId="0" borderId="13" xfId="0" applyNumberFormat="1" applyFont="1" applyBorder="1" applyAlignment="1">
      <alignment vertical="center"/>
    </xf>
    <xf numFmtId="0" fontId="28" fillId="0" borderId="20" xfId="0" applyFont="1" applyBorder="1" applyAlignment="1">
      <alignment vertical="center"/>
    </xf>
    <xf numFmtId="0" fontId="28" fillId="0" borderId="20" xfId="0" applyFont="1" applyBorder="1" applyAlignment="1">
      <alignment horizontal="center" vertical="center"/>
    </xf>
    <xf numFmtId="3" fontId="28" fillId="0" borderId="18" xfId="0" applyNumberFormat="1" applyFont="1" applyBorder="1" applyAlignment="1">
      <alignment vertical="center"/>
    </xf>
    <xf numFmtId="172" fontId="30" fillId="0" borderId="0" xfId="0" applyNumberFormat="1" applyFont="1" applyAlignment="1">
      <alignment vertical="center"/>
    </xf>
    <xf numFmtId="172" fontId="28" fillId="0" borderId="0" xfId="0" applyNumberFormat="1" applyFont="1" applyAlignment="1">
      <alignment vertical="center"/>
    </xf>
    <xf numFmtId="0" fontId="28" fillId="0" borderId="11" xfId="0" applyFont="1" applyBorder="1" applyAlignment="1">
      <alignment vertical="center"/>
    </xf>
    <xf numFmtId="0" fontId="28" fillId="0" borderId="11" xfId="0" applyFont="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8" fillId="0" borderId="14" xfId="0" applyFont="1" applyBorder="1" applyAlignment="1">
      <alignment vertical="center"/>
    </xf>
    <xf numFmtId="0" fontId="28" fillId="0" borderId="14" xfId="0" applyFont="1" applyBorder="1" applyAlignment="1">
      <alignment horizontal="center" vertical="center"/>
    </xf>
    <xf numFmtId="165" fontId="28" fillId="0" borderId="0" xfId="261" applyNumberFormat="1" applyFont="1" applyAlignment="1">
      <alignment vertical="center"/>
    </xf>
    <xf numFmtId="172" fontId="49" fillId="0" borderId="0" xfId="0" applyNumberFormat="1" applyFont="1" applyAlignment="1">
      <alignment vertical="center"/>
    </xf>
    <xf numFmtId="0" fontId="30" fillId="0" borderId="11" xfId="0" applyFont="1" applyBorder="1" applyAlignment="1">
      <alignment vertical="center"/>
    </xf>
    <xf numFmtId="165" fontId="28" fillId="0" borderId="11" xfId="261" applyNumberFormat="1" applyFont="1" applyBorder="1" applyAlignment="1">
      <alignment vertical="center"/>
    </xf>
    <xf numFmtId="3" fontId="28" fillId="0" borderId="23" xfId="0" applyNumberFormat="1" applyFont="1" applyBorder="1" applyAlignment="1">
      <alignment vertical="center"/>
    </xf>
    <xf numFmtId="3" fontId="28" fillId="0" borderId="24" xfId="0" applyNumberFormat="1" applyFont="1" applyBorder="1" applyAlignment="1">
      <alignment vertical="center"/>
    </xf>
    <xf numFmtId="165" fontId="28" fillId="0" borderId="20" xfId="261" applyNumberFormat="1" applyFont="1" applyBorder="1" applyAlignment="1">
      <alignment vertical="center"/>
    </xf>
    <xf numFmtId="172" fontId="49" fillId="0" borderId="20" xfId="0" applyNumberFormat="1" applyFont="1" applyBorder="1" applyAlignment="1">
      <alignment vertical="center"/>
    </xf>
    <xf numFmtId="0" fontId="30" fillId="0" borderId="11" xfId="0" applyFont="1" applyBorder="1" applyAlignment="1">
      <alignment horizontal="center" vertical="center"/>
    </xf>
    <xf numFmtId="165" fontId="30" fillId="0" borderId="11" xfId="261" applyNumberFormat="1" applyFont="1" applyBorder="1" applyAlignment="1">
      <alignment vertical="center"/>
    </xf>
    <xf numFmtId="3" fontId="30" fillId="0" borderId="13" xfId="0" applyNumberFormat="1" applyFont="1" applyBorder="1" applyAlignment="1">
      <alignment vertical="center"/>
    </xf>
    <xf numFmtId="2" fontId="30" fillId="0" borderId="11" xfId="0" applyNumberFormat="1" applyFont="1" applyBorder="1" applyAlignment="1">
      <alignment horizontal="center" vertical="top" wrapText="1"/>
    </xf>
    <xf numFmtId="3" fontId="28" fillId="0" borderId="25" xfId="0" applyNumberFormat="1" applyFont="1" applyBorder="1" applyAlignment="1">
      <alignment horizontal="right" vertical="center"/>
    </xf>
    <xf numFmtId="3" fontId="28" fillId="0" borderId="25" xfId="0" applyNumberFormat="1" applyFont="1" applyBorder="1" applyAlignment="1">
      <alignment vertical="center"/>
    </xf>
    <xf numFmtId="3" fontId="28" fillId="0" borderId="35" xfId="0" applyNumberFormat="1" applyFont="1" applyBorder="1" applyAlignment="1">
      <alignment vertical="center"/>
    </xf>
    <xf numFmtId="165" fontId="28" fillId="0" borderId="0" xfId="261" applyNumberFormat="1" applyFont="1" applyAlignment="1">
      <alignment horizontal="center" vertical="center"/>
    </xf>
    <xf numFmtId="4" fontId="28" fillId="0" borderId="0" xfId="0" applyNumberFormat="1" applyFont="1" applyAlignment="1">
      <alignment horizontal="right" vertical="center"/>
    </xf>
    <xf numFmtId="3" fontId="28" fillId="0" borderId="0" xfId="0" applyNumberFormat="1" applyFont="1" applyAlignment="1">
      <alignment horizontal="left" vertical="center"/>
    </xf>
    <xf numFmtId="4" fontId="52" fillId="0" borderId="0" xfId="0" applyNumberFormat="1" applyFont="1" applyAlignment="1">
      <alignment horizontal="center" vertical="center"/>
    </xf>
    <xf numFmtId="3" fontId="28" fillId="0" borderId="0" xfId="0" applyNumberFormat="1" applyFont="1" applyAlignment="1">
      <alignment horizontal="right" vertical="center"/>
    </xf>
    <xf numFmtId="49" fontId="32" fillId="25" borderId="12" xfId="0" applyNumberFormat="1" applyFont="1" applyFill="1" applyBorder="1" applyAlignment="1">
      <alignment horizontal="center" vertical="center" wrapText="1"/>
    </xf>
    <xf numFmtId="0" fontId="30" fillId="0" borderId="12" xfId="0" applyFont="1" applyBorder="1" applyAlignment="1">
      <alignment horizontal="center" vertical="center" wrapText="1"/>
    </xf>
    <xf numFmtId="0" fontId="28" fillId="0" borderId="19" xfId="0" applyFont="1" applyBorder="1" applyAlignment="1">
      <alignment horizontal="center" vertical="center"/>
    </xf>
    <xf numFmtId="0" fontId="30" fillId="0" borderId="12" xfId="0" applyFont="1" applyBorder="1" applyAlignment="1">
      <alignment horizontal="center" vertical="center"/>
    </xf>
    <xf numFmtId="3" fontId="28" fillId="0" borderId="45" xfId="0" applyNumberFormat="1" applyFont="1" applyBorder="1" applyAlignment="1">
      <alignment horizontal="right" vertical="center"/>
    </xf>
    <xf numFmtId="3" fontId="28" fillId="0" borderId="46" xfId="0" applyNumberFormat="1" applyFont="1" applyBorder="1" applyAlignment="1">
      <alignment horizontal="right" vertical="center"/>
    </xf>
    <xf numFmtId="3" fontId="28" fillId="0" borderId="47" xfId="0" applyNumberFormat="1" applyFont="1" applyBorder="1" applyAlignment="1">
      <alignment horizontal="right" vertical="center"/>
    </xf>
    <xf numFmtId="0" fontId="34" fillId="0" borderId="20" xfId="0" applyFont="1" applyBorder="1" applyAlignment="1">
      <alignment horizontal="center" vertical="center" wrapText="1"/>
    </xf>
    <xf numFmtId="9" fontId="34" fillId="0" borderId="20" xfId="0" applyNumberFormat="1" applyFont="1" applyBorder="1" applyAlignment="1">
      <alignment horizontal="center" vertical="center" wrapText="1"/>
    </xf>
    <xf numFmtId="0" fontId="53" fillId="0" borderId="0" xfId="0" applyFont="1" applyAlignment="1">
      <alignment vertical="center" wrapText="1"/>
    </xf>
    <xf numFmtId="0" fontId="37" fillId="31" borderId="0" xfId="0" applyFont="1" applyFill="1" applyAlignment="1">
      <alignment vertical="center" wrapText="1"/>
    </xf>
    <xf numFmtId="0" fontId="54" fillId="0" borderId="0" xfId="0" applyFont="1" applyAlignment="1">
      <alignment vertical="center" wrapText="1"/>
    </xf>
    <xf numFmtId="3" fontId="35" fillId="0" borderId="36" xfId="0" applyNumberFormat="1" applyFont="1" applyBorder="1" applyAlignment="1">
      <alignment horizontal="right" vertical="center" wrapText="1"/>
    </xf>
    <xf numFmtId="0" fontId="36" fillId="29" borderId="36" xfId="0" applyFont="1" applyFill="1" applyBorder="1" applyAlignment="1">
      <alignment horizontal="left" vertical="center" wrapText="1"/>
    </xf>
    <xf numFmtId="177" fontId="50" fillId="24" borderId="31" xfId="0" applyNumberFormat="1" applyFont="1" applyFill="1" applyBorder="1" applyAlignment="1">
      <alignment horizontal="center" vertical="center" wrapText="1"/>
    </xf>
    <xf numFmtId="3" fontId="30" fillId="30" borderId="31" xfId="0" applyNumberFormat="1" applyFont="1" applyFill="1" applyBorder="1" applyAlignment="1">
      <alignment horizontal="center" vertical="center" wrapText="1"/>
    </xf>
    <xf numFmtId="3" fontId="30" fillId="30" borderId="51" xfId="0" applyNumberFormat="1" applyFont="1" applyFill="1" applyBorder="1" applyAlignment="1">
      <alignment horizontal="center" vertical="center" wrapText="1"/>
    </xf>
    <xf numFmtId="0" fontId="31" fillId="32" borderId="36" xfId="0" applyFont="1" applyFill="1" applyBorder="1" applyAlignment="1">
      <alignment horizontal="center"/>
    </xf>
    <xf numFmtId="3" fontId="28" fillId="0" borderId="45" xfId="0" applyNumberFormat="1" applyFont="1" applyBorder="1" applyAlignment="1">
      <alignment vertical="center"/>
    </xf>
    <xf numFmtId="49" fontId="32" fillId="29" borderId="42" xfId="0" applyNumberFormat="1" applyFont="1" applyFill="1" applyBorder="1" applyAlignment="1">
      <alignment horizontal="center" vertical="center" wrapText="1"/>
    </xf>
    <xf numFmtId="3" fontId="28" fillId="29" borderId="39" xfId="0" applyNumberFormat="1" applyFont="1" applyFill="1" applyBorder="1" applyAlignment="1">
      <alignment vertical="center"/>
    </xf>
    <xf numFmtId="0" fontId="55" fillId="29" borderId="48" xfId="0" applyFont="1" applyFill="1" applyBorder="1" applyAlignment="1">
      <alignment horizontal="left" vertical="center" wrapText="1"/>
    </xf>
    <xf numFmtId="3" fontId="30" fillId="29" borderId="11" xfId="0" applyNumberFormat="1" applyFont="1" applyFill="1" applyBorder="1" applyAlignment="1">
      <alignment horizontal="right" vertical="center"/>
    </xf>
    <xf numFmtId="3" fontId="34" fillId="29" borderId="13" xfId="0" applyNumberFormat="1" applyFont="1" applyFill="1" applyBorder="1" applyAlignment="1">
      <alignment horizontal="right" vertical="center"/>
    </xf>
    <xf numFmtId="0" fontId="32" fillId="29" borderId="32" xfId="0" applyFont="1" applyFill="1" applyBorder="1" applyAlignment="1">
      <alignment horizontal="center" vertical="center" wrapText="1"/>
    </xf>
    <xf numFmtId="0" fontId="30" fillId="0" borderId="14" xfId="0" applyFont="1" applyBorder="1" applyAlignment="1">
      <alignment vertical="center"/>
    </xf>
    <xf numFmtId="165" fontId="28" fillId="0" borderId="14" xfId="261" applyNumberFormat="1" applyFont="1" applyBorder="1" applyAlignment="1">
      <alignment vertical="center"/>
    </xf>
    <xf numFmtId="3" fontId="28" fillId="0" borderId="22" xfId="0" applyNumberFormat="1" applyFont="1" applyBorder="1" applyAlignment="1">
      <alignment vertical="center"/>
    </xf>
    <xf numFmtId="0" fontId="30" fillId="0" borderId="49" xfId="0" applyFont="1" applyBorder="1" applyAlignment="1">
      <alignment horizontal="center" vertical="center"/>
    </xf>
    <xf numFmtId="0" fontId="30" fillId="0" borderId="31" xfId="0" applyFont="1" applyBorder="1" applyAlignment="1">
      <alignment horizontal="left" vertical="center" wrapText="1"/>
    </xf>
    <xf numFmtId="0" fontId="30" fillId="0" borderId="31" xfId="0" applyFont="1" applyBorder="1" applyAlignment="1">
      <alignment horizontal="center" vertical="center" wrapText="1"/>
    </xf>
    <xf numFmtId="9" fontId="30" fillId="0" borderId="31" xfId="0" applyNumberFormat="1" applyFont="1" applyBorder="1" applyAlignment="1">
      <alignment horizontal="center" vertical="center" wrapText="1"/>
    </xf>
    <xf numFmtId="3" fontId="30" fillId="0" borderId="31" xfId="0" applyNumberFormat="1" applyFont="1" applyBorder="1" applyAlignment="1">
      <alignment vertical="center"/>
    </xf>
    <xf numFmtId="165" fontId="30" fillId="0" borderId="31" xfId="261" applyNumberFormat="1" applyFont="1" applyBorder="1" applyAlignment="1">
      <alignment horizontal="right" vertical="center"/>
    </xf>
    <xf numFmtId="172" fontId="30" fillId="0" borderId="31" xfId="0" applyNumberFormat="1" applyFont="1" applyBorder="1" applyAlignment="1">
      <alignment vertical="center"/>
    </xf>
    <xf numFmtId="3" fontId="30" fillId="0" borderId="51" xfId="0" applyNumberFormat="1" applyFont="1" applyBorder="1" applyAlignment="1">
      <alignment vertical="center"/>
    </xf>
    <xf numFmtId="0" fontId="34" fillId="0" borderId="19" xfId="0" applyFont="1" applyBorder="1" applyAlignment="1">
      <alignment horizontal="center" vertical="center"/>
    </xf>
    <xf numFmtId="0" fontId="34" fillId="0" borderId="20" xfId="0" applyFont="1" applyBorder="1" applyAlignment="1">
      <alignment horizontal="left" vertical="center" wrapText="1"/>
    </xf>
    <xf numFmtId="3" fontId="34" fillId="0" borderId="20" xfId="0" applyNumberFormat="1" applyFont="1" applyBorder="1" applyAlignment="1">
      <alignment vertical="center"/>
    </xf>
    <xf numFmtId="165" fontId="34" fillId="0" borderId="20" xfId="261" applyNumberFormat="1" applyFont="1" applyBorder="1" applyAlignment="1">
      <alignment horizontal="right" vertical="center"/>
    </xf>
    <xf numFmtId="3" fontId="34" fillId="0" borderId="20" xfId="0" applyNumberFormat="1" applyFont="1" applyBorder="1" applyAlignment="1">
      <alignment horizontal="right" vertical="center"/>
    </xf>
    <xf numFmtId="3" fontId="34" fillId="0" borderId="18" xfId="0" applyNumberFormat="1" applyFont="1" applyBorder="1" applyAlignment="1">
      <alignment horizontal="right" vertical="center"/>
    </xf>
    <xf numFmtId="3" fontId="28" fillId="0" borderId="14" xfId="0" applyNumberFormat="1" applyFont="1" applyBorder="1" applyAlignment="1">
      <alignment vertical="center"/>
    </xf>
    <xf numFmtId="3" fontId="30" fillId="0" borderId="36" xfId="0" applyNumberFormat="1" applyFont="1" applyBorder="1" applyAlignment="1">
      <alignment vertical="center"/>
    </xf>
    <xf numFmtId="0" fontId="30" fillId="0" borderId="36" xfId="0" applyFont="1" applyBorder="1" applyAlignment="1">
      <alignment vertical="center"/>
    </xf>
    <xf numFmtId="3" fontId="28" fillId="0" borderId="39" xfId="0" applyNumberFormat="1" applyFont="1" applyBorder="1" applyAlignment="1">
      <alignment vertical="center"/>
    </xf>
    <xf numFmtId="0" fontId="28" fillId="0" borderId="43" xfId="0" applyFont="1" applyBorder="1" applyAlignment="1">
      <alignment horizontal="center" vertical="center"/>
    </xf>
    <xf numFmtId="0" fontId="28" fillId="0" borderId="45" xfId="0" applyFont="1" applyBorder="1" applyAlignment="1">
      <alignment horizontal="left" vertical="center" wrapText="1"/>
    </xf>
    <xf numFmtId="0" fontId="28" fillId="0" borderId="45" xfId="0" applyFont="1" applyBorder="1" applyAlignment="1">
      <alignment horizontal="center" vertical="center" wrapText="1"/>
    </xf>
    <xf numFmtId="165" fontId="28" fillId="0" borderId="45" xfId="261" applyNumberFormat="1" applyFont="1" applyBorder="1" applyAlignment="1">
      <alignment horizontal="right" vertical="center"/>
    </xf>
    <xf numFmtId="3" fontId="28" fillId="0" borderId="34" xfId="0" applyNumberFormat="1" applyFont="1" applyBorder="1" applyAlignment="1">
      <alignment vertical="center"/>
    </xf>
    <xf numFmtId="0" fontId="30" fillId="0" borderId="27" xfId="0" applyFont="1" applyBorder="1" applyAlignment="1">
      <alignment horizontal="center" vertical="center"/>
    </xf>
    <xf numFmtId="0" fontId="30" fillId="0" borderId="36" xfId="0" applyFont="1" applyBorder="1" applyAlignment="1">
      <alignment horizontal="center" vertical="center" wrapText="1"/>
    </xf>
    <xf numFmtId="9" fontId="30" fillId="0" borderId="36" xfId="0" applyNumberFormat="1" applyFont="1" applyBorder="1" applyAlignment="1">
      <alignment horizontal="center" vertical="center" wrapText="1"/>
    </xf>
    <xf numFmtId="165" fontId="30" fillId="0" borderId="36" xfId="261" applyNumberFormat="1" applyFont="1" applyBorder="1" applyAlignment="1">
      <alignment horizontal="right" vertical="center"/>
    </xf>
    <xf numFmtId="172" fontId="30" fillId="0" borderId="36" xfId="0" applyNumberFormat="1" applyFont="1" applyBorder="1" applyAlignment="1">
      <alignment vertical="center"/>
    </xf>
    <xf numFmtId="0" fontId="28" fillId="0" borderId="27" xfId="0" applyFont="1" applyBorder="1" applyAlignment="1">
      <alignment horizontal="center" vertical="center"/>
    </xf>
    <xf numFmtId="0" fontId="30" fillId="0" borderId="36" xfId="0" applyFont="1" applyBorder="1" applyAlignment="1">
      <alignment vertical="center" wrapText="1"/>
    </xf>
    <xf numFmtId="0" fontId="28" fillId="0" borderId="36" xfId="0" applyFont="1" applyBorder="1" applyAlignment="1">
      <alignment horizontal="center" vertical="center"/>
    </xf>
    <xf numFmtId="0" fontId="28" fillId="0" borderId="36" xfId="0" applyFont="1" applyBorder="1" applyAlignment="1">
      <alignment vertical="center"/>
    </xf>
    <xf numFmtId="165" fontId="28" fillId="0" borderId="36" xfId="261" applyNumberFormat="1" applyFont="1" applyBorder="1" applyAlignment="1">
      <alignment vertical="center"/>
    </xf>
    <xf numFmtId="3" fontId="28" fillId="0" borderId="29" xfId="0" applyNumberFormat="1" applyFont="1" applyBorder="1" applyAlignment="1">
      <alignment vertical="center"/>
    </xf>
    <xf numFmtId="0" fontId="30" fillId="0" borderId="36" xfId="0" applyFont="1" applyBorder="1" applyAlignment="1">
      <alignment horizontal="left" vertical="center" wrapText="1"/>
    </xf>
    <xf numFmtId="3" fontId="30" fillId="0" borderId="36" xfId="0" applyNumberFormat="1" applyFont="1" applyBorder="1" applyAlignment="1">
      <alignment horizontal="right" vertical="center"/>
    </xf>
    <xf numFmtId="165" fontId="30" fillId="0" borderId="36" xfId="261" applyNumberFormat="1" applyFont="1" applyFill="1" applyBorder="1" applyAlignment="1">
      <alignment horizontal="right" vertical="center" wrapText="1"/>
    </xf>
    <xf numFmtId="0" fontId="36" fillId="27" borderId="21" xfId="0" applyFont="1" applyFill="1" applyBorder="1" applyAlignment="1">
      <alignment horizontal="left" vertical="center" wrapText="1"/>
    </xf>
    <xf numFmtId="0" fontId="36" fillId="27" borderId="52" xfId="0" applyFont="1" applyFill="1" applyBorder="1" applyAlignment="1">
      <alignment horizontal="left" vertical="center" wrapText="1"/>
    </xf>
    <xf numFmtId="0" fontId="36" fillId="27" borderId="54" xfId="0" applyFont="1" applyFill="1" applyBorder="1" applyAlignment="1">
      <alignment horizontal="left" vertical="center" wrapText="1"/>
    </xf>
    <xf numFmtId="0" fontId="56" fillId="0" borderId="0" xfId="0" applyFont="1" applyAlignment="1">
      <alignment vertical="center" wrapText="1"/>
    </xf>
    <xf numFmtId="49" fontId="35" fillId="33" borderId="12" xfId="0" applyNumberFormat="1" applyFont="1" applyFill="1" applyBorder="1" applyAlignment="1">
      <alignment horizontal="center" vertical="center" wrapText="1"/>
    </xf>
    <xf numFmtId="0" fontId="35" fillId="33" borderId="11" xfId="0" applyFont="1" applyFill="1" applyBorder="1" applyAlignment="1">
      <alignment vertical="center" wrapText="1"/>
    </xf>
    <xf numFmtId="0" fontId="35" fillId="33" borderId="11" xfId="0" applyFont="1" applyFill="1" applyBorder="1" applyAlignment="1">
      <alignment horizontal="center" vertical="center" wrapText="1"/>
    </xf>
    <xf numFmtId="49" fontId="35" fillId="33" borderId="11" xfId="0" applyNumberFormat="1" applyFont="1" applyFill="1" applyBorder="1" applyAlignment="1">
      <alignment horizontal="center" vertical="center" wrapText="1"/>
    </xf>
    <xf numFmtId="0" fontId="37" fillId="33" borderId="11" xfId="0" applyFont="1" applyFill="1" applyBorder="1" applyAlignment="1">
      <alignment horizontal="center" vertical="center" wrapText="1"/>
    </xf>
    <xf numFmtId="0" fontId="37" fillId="33" borderId="11" xfId="0" applyFont="1" applyFill="1" applyBorder="1" applyAlignment="1">
      <alignment vertical="center" wrapText="1"/>
    </xf>
    <xf numFmtId="49" fontId="37" fillId="33" borderId="12" xfId="0" applyNumberFormat="1" applyFont="1" applyFill="1" applyBorder="1" applyAlignment="1">
      <alignment horizontal="center" vertical="center" wrapText="1"/>
    </xf>
    <xf numFmtId="2" fontId="35" fillId="33" borderId="11" xfId="0" applyNumberFormat="1" applyFont="1" applyFill="1" applyBorder="1" applyAlignment="1">
      <alignment horizontal="center" vertical="center" wrapText="1"/>
    </xf>
    <xf numFmtId="3" fontId="35" fillId="33" borderId="13" xfId="0" applyNumberFormat="1" applyFont="1" applyFill="1" applyBorder="1" applyAlignment="1">
      <alignment vertical="center" wrapText="1"/>
    </xf>
    <xf numFmtId="2" fontId="37" fillId="33" borderId="11" xfId="0" applyNumberFormat="1" applyFont="1" applyFill="1" applyBorder="1" applyAlignment="1">
      <alignment horizontal="center" vertical="center" wrapText="1"/>
    </xf>
    <xf numFmtId="0" fontId="36" fillId="33" borderId="25" xfId="0" applyFont="1" applyFill="1" applyBorder="1" applyAlignment="1">
      <alignment vertical="center" wrapText="1"/>
    </xf>
    <xf numFmtId="0" fontId="36" fillId="33" borderId="40" xfId="0" applyFont="1" applyFill="1" applyBorder="1" applyAlignment="1">
      <alignment vertical="center" wrapText="1"/>
    </xf>
    <xf numFmtId="0" fontId="36" fillId="33" borderId="41" xfId="0" applyFont="1" applyFill="1" applyBorder="1" applyAlignment="1">
      <alignment vertical="center" wrapText="1"/>
    </xf>
    <xf numFmtId="49" fontId="35" fillId="33" borderId="30" xfId="0" applyNumberFormat="1" applyFont="1" applyFill="1" applyBorder="1" applyAlignment="1">
      <alignment horizontal="center" vertical="center" wrapText="1"/>
    </xf>
    <xf numFmtId="0" fontId="35" fillId="33" borderId="23" xfId="0" applyFont="1" applyFill="1" applyBorder="1" applyAlignment="1">
      <alignment horizontal="center" vertical="center" wrapText="1"/>
    </xf>
    <xf numFmtId="3" fontId="35" fillId="33" borderId="24" xfId="0" applyNumberFormat="1" applyFont="1" applyFill="1" applyBorder="1" applyAlignment="1">
      <alignment vertical="center" wrapText="1"/>
    </xf>
    <xf numFmtId="3" fontId="37" fillId="0" borderId="0" xfId="0" applyNumberFormat="1" applyFont="1" applyAlignment="1">
      <alignment vertical="center" wrapText="1"/>
    </xf>
    <xf numFmtId="173" fontId="28" fillId="0" borderId="11" xfId="0" applyNumberFormat="1" applyFont="1" applyBorder="1" applyAlignment="1">
      <alignment horizontal="right" vertical="center"/>
    </xf>
    <xf numFmtId="173" fontId="34" fillId="0" borderId="20" xfId="0" applyNumberFormat="1" applyFont="1" applyBorder="1" applyAlignment="1">
      <alignment horizontal="right" vertical="center"/>
    </xf>
    <xf numFmtId="173" fontId="30" fillId="0" borderId="31" xfId="0" applyNumberFormat="1" applyFont="1" applyBorder="1" applyAlignment="1">
      <alignment horizontal="right" vertical="center"/>
    </xf>
    <xf numFmtId="9" fontId="30" fillId="0" borderId="31" xfId="432" applyFont="1" applyBorder="1" applyAlignment="1">
      <alignment horizontal="right" vertical="center"/>
    </xf>
    <xf numFmtId="172" fontId="28" fillId="0" borderId="14" xfId="0" applyNumberFormat="1" applyFont="1" applyBorder="1" applyAlignment="1">
      <alignment vertical="center"/>
    </xf>
    <xf numFmtId="172" fontId="28" fillId="0" borderId="11" xfId="0" applyNumberFormat="1" applyFont="1" applyBorder="1" applyAlignment="1">
      <alignment vertical="center"/>
    </xf>
    <xf numFmtId="173" fontId="28" fillId="0" borderId="11" xfId="0" applyNumberFormat="1" applyFont="1" applyBorder="1" applyAlignment="1">
      <alignment vertical="center"/>
    </xf>
    <xf numFmtId="3" fontId="31" fillId="0" borderId="11" xfId="0" applyNumberFormat="1" applyFont="1" applyBorder="1" applyAlignment="1">
      <alignment vertical="center"/>
    </xf>
    <xf numFmtId="173" fontId="28" fillId="0" borderId="45" xfId="0" applyNumberFormat="1" applyFont="1" applyBorder="1" applyAlignment="1">
      <alignment horizontal="right" vertical="center"/>
    </xf>
    <xf numFmtId="173" fontId="30" fillId="0" borderId="36" xfId="0" applyNumberFormat="1" applyFont="1" applyBorder="1" applyAlignment="1">
      <alignment horizontal="right" vertical="center"/>
    </xf>
    <xf numFmtId="9" fontId="30" fillId="0" borderId="36" xfId="432" applyFont="1" applyBorder="1" applyAlignment="1">
      <alignment horizontal="right" vertical="center"/>
    </xf>
    <xf numFmtId="3" fontId="28" fillId="0" borderId="36" xfId="0" applyNumberFormat="1" applyFont="1" applyBorder="1" applyAlignment="1">
      <alignment vertical="center"/>
    </xf>
    <xf numFmtId="172" fontId="28" fillId="0" borderId="36" xfId="0" applyNumberFormat="1" applyFont="1" applyBorder="1" applyAlignment="1">
      <alignment vertical="center"/>
    </xf>
    <xf numFmtId="172" fontId="28" fillId="0" borderId="20" xfId="0" applyNumberFormat="1" applyFont="1" applyBorder="1" applyAlignment="1">
      <alignment vertical="center"/>
    </xf>
    <xf numFmtId="172" fontId="28" fillId="0" borderId="23" xfId="0" applyNumberFormat="1" applyFont="1" applyBorder="1" applyAlignment="1">
      <alignment vertical="center"/>
    </xf>
    <xf numFmtId="173" fontId="30" fillId="0" borderId="36" xfId="0" applyNumberFormat="1" applyFont="1" applyBorder="1" applyAlignment="1">
      <alignment horizontal="right" vertical="center" wrapText="1"/>
    </xf>
    <xf numFmtId="9" fontId="30" fillId="0" borderId="36" xfId="432" applyFont="1" applyFill="1" applyBorder="1" applyAlignment="1">
      <alignment horizontal="right" vertical="center" wrapText="1"/>
    </xf>
    <xf numFmtId="0" fontId="30" fillId="33" borderId="36" xfId="0" applyFont="1" applyFill="1" applyBorder="1" applyAlignment="1">
      <alignment horizontal="left" vertical="center" wrapText="1"/>
    </xf>
    <xf numFmtId="0" fontId="30" fillId="33" borderId="36" xfId="0" applyFont="1" applyFill="1" applyBorder="1" applyAlignment="1">
      <alignment horizontal="center" vertical="center" wrapText="1"/>
    </xf>
    <xf numFmtId="3" fontId="30" fillId="33" borderId="36" xfId="0" applyNumberFormat="1" applyFont="1" applyFill="1" applyBorder="1" applyAlignment="1">
      <alignment horizontal="right" vertical="center"/>
    </xf>
    <xf numFmtId="173" fontId="30" fillId="33" borderId="36" xfId="0" applyNumberFormat="1" applyFont="1" applyFill="1" applyBorder="1" applyAlignment="1">
      <alignment horizontal="right" vertical="center" wrapText="1"/>
    </xf>
    <xf numFmtId="9" fontId="30" fillId="33" borderId="36" xfId="432" applyFont="1" applyFill="1" applyBorder="1" applyAlignment="1">
      <alignment horizontal="right" vertical="center" wrapText="1"/>
    </xf>
    <xf numFmtId="0" fontId="36" fillId="0" borderId="36" xfId="0" applyFont="1" applyBorder="1" applyAlignment="1">
      <alignment horizontal="center" vertical="center" wrapText="1"/>
    </xf>
    <xf numFmtId="49" fontId="35" fillId="0" borderId="36" xfId="0" applyNumberFormat="1" applyFont="1" applyBorder="1" applyAlignment="1">
      <alignment horizontal="center" vertical="center" wrapText="1"/>
    </xf>
    <xf numFmtId="0" fontId="35" fillId="0" borderId="36" xfId="0" applyFont="1" applyBorder="1" applyAlignment="1">
      <alignment horizontal="left" vertical="center" wrapText="1"/>
    </xf>
    <xf numFmtId="0" fontId="35" fillId="0" borderId="36" xfId="0" applyFont="1" applyBorder="1" applyAlignment="1">
      <alignment horizontal="center" vertical="center" wrapText="1"/>
    </xf>
    <xf numFmtId="0" fontId="35" fillId="0" borderId="36" xfId="0" applyFont="1" applyBorder="1" applyAlignment="1">
      <alignment vertical="center" wrapText="1"/>
    </xf>
    <xf numFmtId="0" fontId="37" fillId="0" borderId="36" xfId="0" applyFont="1" applyBorder="1" applyAlignment="1">
      <alignment horizontal="center" vertical="center" wrapText="1"/>
    </xf>
    <xf numFmtId="0" fontId="45" fillId="0" borderId="0" xfId="0" applyFont="1" applyAlignment="1">
      <alignment vertical="center" wrapText="1"/>
    </xf>
    <xf numFmtId="0" fontId="46" fillId="0" borderId="0" xfId="0" applyFont="1" applyAlignment="1">
      <alignment vertical="center" wrapText="1"/>
    </xf>
    <xf numFmtId="0" fontId="58" fillId="0" borderId="0" xfId="0" applyFont="1" applyAlignment="1">
      <alignment vertical="center" wrapText="1"/>
    </xf>
    <xf numFmtId="0" fontId="60" fillId="0" borderId="0" xfId="0" applyFont="1" applyAlignment="1">
      <alignment vertical="center" wrapText="1"/>
    </xf>
    <xf numFmtId="0" fontId="36" fillId="27" borderId="36" xfId="0" applyFont="1" applyFill="1" applyBorder="1" applyAlignment="1">
      <alignment horizontal="center" vertical="center" wrapText="1"/>
    </xf>
    <xf numFmtId="3" fontId="30" fillId="24" borderId="36" xfId="0" applyNumberFormat="1" applyFont="1" applyFill="1" applyBorder="1" applyAlignment="1">
      <alignment horizontal="center" vertical="center" wrapText="1"/>
    </xf>
    <xf numFmtId="4" fontId="61" fillId="24" borderId="36" xfId="0" applyNumberFormat="1" applyFont="1" applyFill="1" applyBorder="1" applyAlignment="1">
      <alignment horizontal="center" vertical="center" wrapText="1"/>
    </xf>
    <xf numFmtId="0" fontId="32" fillId="29" borderId="36" xfId="0" applyFont="1" applyFill="1" applyBorder="1" applyAlignment="1">
      <alignment horizontal="center" vertical="center" wrapText="1"/>
    </xf>
    <xf numFmtId="0" fontId="32" fillId="29" borderId="36" xfId="0" applyFont="1" applyFill="1" applyBorder="1" applyAlignment="1">
      <alignment vertical="center" wrapText="1"/>
    </xf>
    <xf numFmtId="0" fontId="42" fillId="29" borderId="36" xfId="0" applyFont="1" applyFill="1" applyBorder="1" applyAlignment="1">
      <alignment horizontal="right" vertical="center" wrapText="1"/>
    </xf>
    <xf numFmtId="0" fontId="28" fillId="33" borderId="36" xfId="0" applyFont="1" applyFill="1" applyBorder="1" applyAlignment="1">
      <alignment horizontal="center" vertical="center" wrapText="1"/>
    </xf>
    <xf numFmtId="0" fontId="28" fillId="33" borderId="36" xfId="0" applyFont="1" applyFill="1" applyBorder="1" applyAlignment="1">
      <alignment horizontal="justify" vertical="center" wrapText="1"/>
    </xf>
    <xf numFmtId="3" fontId="28" fillId="33" borderId="36" xfId="0" applyNumberFormat="1" applyFont="1" applyFill="1" applyBorder="1" applyAlignment="1">
      <alignment horizontal="right" vertical="center"/>
    </xf>
    <xf numFmtId="173" fontId="28" fillId="33" borderId="36" xfId="0" applyNumberFormat="1" applyFont="1" applyFill="1" applyBorder="1" applyAlignment="1">
      <alignment horizontal="right" vertical="center" wrapText="1"/>
    </xf>
    <xf numFmtId="165" fontId="30" fillId="33" borderId="36" xfId="261" applyNumberFormat="1" applyFont="1" applyFill="1" applyBorder="1" applyAlignment="1">
      <alignment horizontal="right" vertical="center" wrapText="1"/>
    </xf>
    <xf numFmtId="0" fontId="28" fillId="0" borderId="36" xfId="0" applyFont="1" applyBorder="1" applyAlignment="1">
      <alignment horizontal="center" vertical="center" wrapText="1"/>
    </xf>
    <xf numFmtId="0" fontId="28" fillId="0" borderId="36" xfId="0" applyFont="1" applyBorder="1" applyAlignment="1">
      <alignment horizontal="justify" vertical="center" wrapText="1"/>
    </xf>
    <xf numFmtId="165" fontId="28" fillId="0" borderId="36" xfId="261" applyNumberFormat="1" applyFont="1" applyBorder="1" applyAlignment="1">
      <alignment horizontal="right" vertical="center"/>
    </xf>
    <xf numFmtId="3" fontId="28" fillId="0" borderId="36" xfId="0" applyNumberFormat="1" applyFont="1" applyBorder="1" applyAlignment="1">
      <alignment horizontal="right" vertical="center"/>
    </xf>
    <xf numFmtId="0" fontId="30" fillId="29" borderId="36" xfId="0" applyFont="1" applyFill="1" applyBorder="1" applyAlignment="1">
      <alignment horizontal="center" vertical="center" wrapText="1"/>
    </xf>
    <xf numFmtId="0" fontId="30" fillId="29" borderId="36" xfId="0" applyFont="1" applyFill="1" applyBorder="1" applyAlignment="1">
      <alignment vertical="center" wrapText="1"/>
    </xf>
    <xf numFmtId="173" fontId="28" fillId="0" borderId="36" xfId="0" applyNumberFormat="1" applyFont="1" applyBorder="1" applyAlignment="1">
      <alignment horizontal="right" vertical="center" wrapText="1"/>
    </xf>
    <xf numFmtId="0" fontId="30" fillId="33" borderId="36" xfId="0" applyFont="1" applyFill="1" applyBorder="1" applyAlignment="1">
      <alignment horizontal="justify" vertical="center" wrapText="1"/>
    </xf>
    <xf numFmtId="4" fontId="28" fillId="33" borderId="36" xfId="0" applyNumberFormat="1" applyFont="1" applyFill="1" applyBorder="1" applyAlignment="1">
      <alignment horizontal="center" vertical="center" wrapText="1"/>
    </xf>
    <xf numFmtId="0" fontId="28" fillId="33" borderId="36" xfId="0" applyFont="1" applyFill="1" applyBorder="1" applyAlignment="1">
      <alignment horizontal="center" vertical="center"/>
    </xf>
    <xf numFmtId="4" fontId="28" fillId="33" borderId="36" xfId="0" applyNumberFormat="1" applyFont="1" applyFill="1" applyBorder="1" applyAlignment="1">
      <alignment horizontal="center" vertical="center"/>
    </xf>
    <xf numFmtId="173" fontId="28" fillId="33" borderId="36" xfId="0" applyNumberFormat="1" applyFont="1" applyFill="1" applyBorder="1" applyAlignment="1">
      <alignment horizontal="center" vertical="center"/>
    </xf>
    <xf numFmtId="4" fontId="52" fillId="0" borderId="36" xfId="0" applyNumberFormat="1" applyFont="1" applyBorder="1" applyAlignment="1">
      <alignment horizontal="center" vertical="center" wrapText="1"/>
    </xf>
    <xf numFmtId="0" fontId="30" fillId="0" borderId="36" xfId="0" applyFont="1" applyBorder="1" applyAlignment="1">
      <alignment horizontal="justify" vertical="center" wrapText="1"/>
    </xf>
    <xf numFmtId="4" fontId="28" fillId="0" borderId="36" xfId="0" applyNumberFormat="1" applyFont="1" applyBorder="1" applyAlignment="1">
      <alignment horizontal="center" vertical="center" wrapText="1"/>
    </xf>
    <xf numFmtId="165" fontId="28" fillId="0" borderId="36" xfId="261" applyNumberFormat="1" applyFont="1" applyFill="1" applyBorder="1" applyAlignment="1">
      <alignment horizontal="right" vertical="center"/>
    </xf>
    <xf numFmtId="4" fontId="28" fillId="0" borderId="36" xfId="0" applyNumberFormat="1" applyFont="1" applyBorder="1" applyAlignment="1">
      <alignment horizontal="center" vertical="center"/>
    </xf>
    <xf numFmtId="0" fontId="28" fillId="0" borderId="21" xfId="0" applyFont="1" applyBorder="1" applyAlignment="1">
      <alignment horizontal="center" vertical="center" wrapText="1"/>
    </xf>
    <xf numFmtId="0" fontId="28" fillId="0" borderId="21" xfId="0" applyFont="1" applyBorder="1" applyAlignment="1">
      <alignment horizontal="justify" vertical="center" wrapText="1"/>
    </xf>
    <xf numFmtId="165" fontId="28" fillId="0" borderId="21" xfId="261" applyNumberFormat="1" applyFont="1" applyBorder="1" applyAlignment="1">
      <alignment horizontal="right" vertical="center"/>
    </xf>
    <xf numFmtId="4" fontId="52" fillId="0" borderId="21" xfId="0" applyNumberFormat="1" applyFont="1" applyBorder="1" applyAlignment="1">
      <alignment horizontal="center" vertical="center" wrapText="1"/>
    </xf>
    <xf numFmtId="3" fontId="28" fillId="0" borderId="21" xfId="0" applyNumberFormat="1" applyFont="1" applyBorder="1" applyAlignment="1">
      <alignment horizontal="right" vertical="center"/>
    </xf>
    <xf numFmtId="173" fontId="28" fillId="0" borderId="36" xfId="0" applyNumberFormat="1" applyFont="1" applyBorder="1" applyAlignment="1">
      <alignment horizontal="center" vertical="center" wrapText="1"/>
    </xf>
    <xf numFmtId="4" fontId="28" fillId="0" borderId="36" xfId="0" applyNumberFormat="1" applyFont="1" applyBorder="1" applyAlignment="1">
      <alignment horizontal="right" vertical="center" wrapText="1"/>
    </xf>
    <xf numFmtId="174" fontId="28" fillId="0" borderId="36" xfId="261" applyNumberFormat="1" applyFont="1" applyBorder="1" applyAlignment="1">
      <alignment horizontal="center" vertical="center" wrapText="1"/>
    </xf>
    <xf numFmtId="173" fontId="52" fillId="0" borderId="36" xfId="0" applyNumberFormat="1" applyFont="1" applyBorder="1" applyAlignment="1">
      <alignment horizontal="center" vertical="center" wrapText="1"/>
    </xf>
    <xf numFmtId="0" fontId="32" fillId="0" borderId="59" xfId="0" applyFont="1" applyBorder="1" applyAlignment="1">
      <alignment vertical="center" wrapText="1"/>
    </xf>
    <xf numFmtId="0" fontId="34" fillId="0" borderId="59" xfId="0" applyFont="1" applyBorder="1" applyAlignment="1">
      <alignment vertical="center"/>
    </xf>
    <xf numFmtId="0" fontId="28" fillId="0" borderId="59" xfId="0" applyFont="1" applyBorder="1" applyAlignment="1">
      <alignment vertical="center"/>
    </xf>
    <xf numFmtId="0" fontId="30" fillId="0" borderId="59" xfId="0" applyFont="1" applyBorder="1" applyAlignment="1">
      <alignment vertical="center"/>
    </xf>
    <xf numFmtId="0" fontId="36" fillId="0" borderId="0" xfId="0" applyFont="1" applyAlignment="1">
      <alignment horizontal="left"/>
    </xf>
    <xf numFmtId="49" fontId="36" fillId="0" borderId="0" xfId="0" applyNumberFormat="1" applyFont="1" applyAlignment="1">
      <alignment horizontal="center"/>
    </xf>
    <xf numFmtId="0" fontId="36" fillId="0" borderId="0" xfId="0" applyFont="1" applyAlignment="1">
      <alignment horizontal="center" vertical="distributed"/>
    </xf>
    <xf numFmtId="3" fontId="36" fillId="0" borderId="0" xfId="0" applyNumberFormat="1" applyFont="1" applyAlignment="1">
      <alignment horizontal="center"/>
    </xf>
    <xf numFmtId="0" fontId="35" fillId="33" borderId="36" xfId="0" applyFont="1" applyFill="1" applyBorder="1" applyAlignment="1">
      <alignment horizontal="center" vertical="center" wrapText="1"/>
    </xf>
    <xf numFmtId="0" fontId="35" fillId="33" borderId="36" xfId="0" applyFont="1" applyFill="1" applyBorder="1" applyAlignment="1">
      <alignment vertical="center" wrapText="1"/>
    </xf>
    <xf numFmtId="3" fontId="35" fillId="33" borderId="36" xfId="0" applyNumberFormat="1" applyFont="1" applyFill="1" applyBorder="1" applyAlignment="1">
      <alignment horizontal="right" vertical="center" wrapText="1"/>
    </xf>
    <xf numFmtId="0" fontId="35" fillId="33" borderId="36" xfId="0" applyFont="1" applyFill="1" applyBorder="1" applyAlignment="1">
      <alignment horizontal="left" vertical="center" wrapText="1"/>
    </xf>
    <xf numFmtId="173" fontId="35" fillId="33" borderId="36" xfId="0" applyNumberFormat="1" applyFont="1" applyFill="1" applyBorder="1" applyAlignment="1">
      <alignment horizontal="right" vertical="center" wrapText="1"/>
    </xf>
    <xf numFmtId="173" fontId="35" fillId="0" borderId="36" xfId="0" applyNumberFormat="1" applyFont="1" applyBorder="1" applyAlignment="1">
      <alignment horizontal="right" vertical="center" wrapText="1"/>
    </xf>
    <xf numFmtId="0" fontId="35" fillId="33" borderId="36" xfId="0" applyFont="1" applyFill="1" applyBorder="1" applyAlignment="1">
      <alignment horizontal="right" vertical="center" wrapText="1"/>
    </xf>
    <xf numFmtId="3" fontId="36" fillId="0" borderId="0" xfId="0" applyNumberFormat="1" applyFont="1" applyAlignment="1">
      <alignment horizontal="center" vertical="center"/>
    </xf>
    <xf numFmtId="0" fontId="36" fillId="27" borderId="60" xfId="0" applyFont="1" applyFill="1" applyBorder="1" applyAlignment="1">
      <alignment horizontal="left" vertical="center" wrapText="1"/>
    </xf>
    <xf numFmtId="0" fontId="36" fillId="27" borderId="61" xfId="0" applyFont="1" applyFill="1" applyBorder="1" applyAlignment="1">
      <alignment horizontal="left" vertical="center" wrapText="1"/>
    </xf>
    <xf numFmtId="0" fontId="36" fillId="28" borderId="62" xfId="0" applyFont="1" applyFill="1" applyBorder="1" applyAlignment="1">
      <alignment vertical="center" wrapText="1"/>
    </xf>
    <xf numFmtId="0" fontId="36" fillId="28" borderId="4" xfId="0" applyFont="1" applyFill="1" applyBorder="1" applyAlignment="1">
      <alignment vertical="center" wrapText="1"/>
    </xf>
    <xf numFmtId="0" fontId="36" fillId="27" borderId="63" xfId="0" applyFont="1" applyFill="1" applyBorder="1" applyAlignment="1">
      <alignment horizontal="left" vertical="center" wrapText="1"/>
    </xf>
    <xf numFmtId="0" fontId="36" fillId="28" borderId="50" xfId="0" applyFont="1" applyFill="1" applyBorder="1" applyAlignment="1">
      <alignment vertical="center" wrapText="1"/>
    </xf>
    <xf numFmtId="0" fontId="36" fillId="27" borderId="26" xfId="0" applyFont="1" applyFill="1" applyBorder="1" applyAlignment="1">
      <alignment horizontal="left" vertical="center" wrapText="1"/>
    </xf>
    <xf numFmtId="0" fontId="47" fillId="0" borderId="36" xfId="411" applyFont="1" applyBorder="1" applyAlignment="1">
      <alignment vertical="center"/>
    </xf>
    <xf numFmtId="0" fontId="28" fillId="33" borderId="0" xfId="0" applyFont="1" applyFill="1"/>
    <xf numFmtId="0" fontId="28" fillId="0" borderId="36" xfId="0" applyFont="1" applyBorder="1" applyAlignment="1">
      <alignment horizontal="center"/>
    </xf>
    <xf numFmtId="0" fontId="28" fillId="0" borderId="36" xfId="0" applyFont="1" applyBorder="1"/>
    <xf numFmtId="0" fontId="28" fillId="33" borderId="36" xfId="0" applyFont="1" applyFill="1" applyBorder="1" applyAlignment="1">
      <alignment horizontal="center"/>
    </xf>
    <xf numFmtId="0" fontId="0" fillId="0" borderId="36" xfId="0" applyBorder="1"/>
    <xf numFmtId="165" fontId="47" fillId="0" borderId="36" xfId="263" applyNumberFormat="1" applyFont="1" applyBorder="1" applyAlignment="1">
      <alignment horizontal="center" vertical="center"/>
    </xf>
    <xf numFmtId="0" fontId="47" fillId="0" borderId="36" xfId="0" applyFont="1" applyBorder="1" applyAlignment="1">
      <alignment vertical="center"/>
    </xf>
    <xf numFmtId="2" fontId="35" fillId="33" borderId="36" xfId="0" applyNumberFormat="1" applyFont="1" applyFill="1" applyBorder="1" applyAlignment="1">
      <alignment horizontal="center" vertical="center" wrapText="1"/>
    </xf>
    <xf numFmtId="3" fontId="57" fillId="0" borderId="0" xfId="0" applyNumberFormat="1" applyFont="1" applyAlignment="1">
      <alignment vertical="center" wrapText="1"/>
    </xf>
    <xf numFmtId="3" fontId="56" fillId="0" borderId="0" xfId="0" applyNumberFormat="1" applyFont="1" applyAlignment="1">
      <alignment vertical="center" wrapText="1"/>
    </xf>
    <xf numFmtId="49" fontId="37" fillId="33" borderId="36" xfId="0" applyNumberFormat="1" applyFont="1" applyFill="1" applyBorder="1" applyAlignment="1">
      <alignment horizontal="center" vertical="center" wrapText="1"/>
    </xf>
    <xf numFmtId="0" fontId="57" fillId="0" borderId="0" xfId="0" applyFont="1" applyAlignment="1">
      <alignment vertical="center" wrapText="1"/>
    </xf>
    <xf numFmtId="3" fontId="56" fillId="0" borderId="36" xfId="0" applyNumberFormat="1" applyFont="1" applyBorder="1" applyAlignment="1">
      <alignment horizontal="right" vertical="center" wrapText="1"/>
    </xf>
    <xf numFmtId="16" fontId="63" fillId="0" borderId="36" xfId="0" quotePrefix="1" applyNumberFormat="1" applyFont="1" applyBorder="1" applyAlignment="1">
      <alignment horizontal="center" vertical="center" wrapText="1"/>
    </xf>
    <xf numFmtId="0" fontId="63" fillId="0" borderId="36" xfId="0" applyFont="1" applyBorder="1" applyAlignment="1">
      <alignment horizontal="center" vertical="center" wrapText="1"/>
    </xf>
    <xf numFmtId="0" fontId="64" fillId="0" borderId="0" xfId="0" applyFont="1" applyAlignment="1">
      <alignment vertical="center" wrapText="1"/>
    </xf>
    <xf numFmtId="0" fontId="35" fillId="0" borderId="36" xfId="0" applyFont="1" applyBorder="1" applyAlignment="1">
      <alignment horizontal="justify" vertical="center" wrapText="1"/>
    </xf>
    <xf numFmtId="0" fontId="56" fillId="0" borderId="36" xfId="0" applyFont="1" applyBorder="1" applyAlignment="1">
      <alignment horizontal="center" vertical="center" wrapText="1"/>
    </xf>
    <xf numFmtId="0" fontId="56" fillId="0" borderId="36" xfId="0" applyFont="1" applyBorder="1" applyAlignment="1">
      <alignment horizontal="justify" vertical="center" wrapText="1"/>
    </xf>
    <xf numFmtId="0" fontId="37" fillId="0" borderId="36" xfId="0" applyFont="1" applyBorder="1" applyAlignment="1">
      <alignment horizontal="justify" vertical="center" wrapText="1"/>
    </xf>
    <xf numFmtId="49" fontId="36" fillId="27" borderId="44" xfId="0" applyNumberFormat="1" applyFont="1" applyFill="1" applyBorder="1" applyAlignment="1">
      <alignment horizontal="center" vertical="center" wrapText="1"/>
    </xf>
    <xf numFmtId="0" fontId="36" fillId="27" borderId="56" xfId="0" applyFont="1" applyFill="1" applyBorder="1" applyAlignment="1">
      <alignment horizontal="left" vertical="center" wrapText="1"/>
    </xf>
    <xf numFmtId="0" fontId="36" fillId="27" borderId="57" xfId="0" applyFont="1" applyFill="1" applyBorder="1" applyAlignment="1">
      <alignment horizontal="left" vertical="center" wrapText="1"/>
    </xf>
    <xf numFmtId="49" fontId="35" fillId="0" borderId="64" xfId="0" applyNumberFormat="1" applyFont="1" applyBorder="1" applyAlignment="1">
      <alignment horizontal="center" vertical="center" wrapText="1"/>
    </xf>
    <xf numFmtId="0" fontId="35" fillId="0" borderId="65" xfId="0" applyFont="1" applyBorder="1" applyAlignment="1">
      <alignment horizontal="center" vertical="center" wrapText="1"/>
    </xf>
    <xf numFmtId="0" fontId="35" fillId="32" borderId="65" xfId="0" applyFont="1" applyFill="1" applyBorder="1" applyAlignment="1">
      <alignment horizontal="center" vertical="center" wrapText="1"/>
    </xf>
    <xf numFmtId="49" fontId="35" fillId="32" borderId="65" xfId="0" applyNumberFormat="1" applyFont="1" applyFill="1" applyBorder="1" applyAlignment="1">
      <alignment horizontal="center" vertical="center" wrapText="1"/>
    </xf>
    <xf numFmtId="3" fontId="35" fillId="32" borderId="66" xfId="0" applyNumberFormat="1" applyFont="1" applyFill="1" applyBorder="1" applyAlignment="1">
      <alignment horizontal="center" vertical="center" wrapText="1"/>
    </xf>
    <xf numFmtId="49" fontId="35" fillId="0" borderId="67" xfId="262" applyNumberFormat="1" applyFont="1" applyFill="1" applyBorder="1" applyAlignment="1">
      <alignment horizontal="center" vertical="center" wrapText="1"/>
    </xf>
    <xf numFmtId="165" fontId="35" fillId="0" borderId="68" xfId="262" applyNumberFormat="1" applyFont="1" applyFill="1" applyBorder="1" applyAlignment="1">
      <alignment horizontal="center" vertical="center" wrapText="1"/>
    </xf>
    <xf numFmtId="165" fontId="38" fillId="0" borderId="68" xfId="262" applyNumberFormat="1" applyFont="1" applyFill="1" applyBorder="1" applyAlignment="1">
      <alignment horizontal="center" vertical="center" wrapText="1"/>
    </xf>
    <xf numFmtId="49" fontId="35" fillId="0" borderId="68" xfId="262" applyNumberFormat="1" applyFont="1" applyFill="1" applyBorder="1" applyAlignment="1">
      <alignment horizontal="center" vertical="center" wrapText="1"/>
    </xf>
    <xf numFmtId="3" fontId="35" fillId="0" borderId="69" xfId="262" applyNumberFormat="1" applyFont="1" applyFill="1" applyBorder="1" applyAlignment="1">
      <alignment horizontal="center" vertical="center" wrapText="1"/>
    </xf>
    <xf numFmtId="49" fontId="35" fillId="0" borderId="67" xfId="0" applyNumberFormat="1" applyFont="1" applyBorder="1" applyAlignment="1">
      <alignment horizontal="center" vertical="center" wrapText="1"/>
    </xf>
    <xf numFmtId="0" fontId="35" fillId="0" borderId="68" xfId="0" applyFont="1" applyBorder="1" applyAlignment="1">
      <alignment vertical="center" wrapText="1"/>
    </xf>
    <xf numFmtId="0" fontId="35" fillId="0" borderId="68" xfId="0" applyFont="1" applyBorder="1" applyAlignment="1">
      <alignment horizontal="center" vertical="center" wrapText="1"/>
    </xf>
    <xf numFmtId="1" fontId="35" fillId="0" borderId="68" xfId="0" applyNumberFormat="1" applyFont="1" applyBorder="1" applyAlignment="1">
      <alignment horizontal="center" vertical="center" wrapText="1"/>
    </xf>
    <xf numFmtId="49" fontId="35" fillId="0" borderId="68" xfId="0" applyNumberFormat="1" applyFont="1" applyBorder="1" applyAlignment="1">
      <alignment horizontal="center" vertical="center" wrapText="1"/>
    </xf>
    <xf numFmtId="3" fontId="35" fillId="0" borderId="69" xfId="262" applyNumberFormat="1" applyFont="1" applyFill="1" applyBorder="1" applyAlignment="1">
      <alignment vertical="center" wrapText="1"/>
    </xf>
    <xf numFmtId="0" fontId="65" fillId="0" borderId="0" xfId="0" applyFont="1" applyAlignment="1">
      <alignment vertical="center" wrapText="1"/>
    </xf>
    <xf numFmtId="49" fontId="35" fillId="0" borderId="70" xfId="0" applyNumberFormat="1" applyFont="1" applyBorder="1" applyAlignment="1">
      <alignment horizontal="center" vertical="center" wrapText="1"/>
    </xf>
    <xf numFmtId="0" fontId="35" fillId="0" borderId="71" xfId="0" applyFont="1" applyBorder="1" applyAlignment="1">
      <alignment vertical="center" wrapText="1"/>
    </xf>
    <xf numFmtId="0" fontId="35" fillId="0" borderId="71" xfId="0" applyFont="1" applyBorder="1" applyAlignment="1">
      <alignment horizontal="center" vertical="center" wrapText="1"/>
    </xf>
    <xf numFmtId="1" fontId="35" fillId="0" borderId="71" xfId="0" applyNumberFormat="1" applyFont="1" applyBorder="1" applyAlignment="1">
      <alignment horizontal="center" vertical="center" wrapText="1"/>
    </xf>
    <xf numFmtId="49" fontId="35" fillId="0" borderId="71" xfId="0" applyNumberFormat="1" applyFont="1" applyBorder="1" applyAlignment="1">
      <alignment horizontal="center" vertical="center" wrapText="1"/>
    </xf>
    <xf numFmtId="3" fontId="35" fillId="0" borderId="72" xfId="262" applyNumberFormat="1" applyFont="1" applyFill="1" applyBorder="1" applyAlignment="1">
      <alignment vertical="center" wrapText="1"/>
    </xf>
    <xf numFmtId="0" fontId="36" fillId="28" borderId="36" xfId="0" applyFont="1" applyFill="1" applyBorder="1" applyAlignment="1">
      <alignment horizontal="center" vertical="center" wrapText="1"/>
    </xf>
    <xf numFmtId="49" fontId="36" fillId="27" borderId="36" xfId="0" applyNumberFormat="1" applyFont="1" applyFill="1" applyBorder="1" applyAlignment="1">
      <alignment horizontal="center" vertical="center" wrapText="1"/>
    </xf>
    <xf numFmtId="49" fontId="35" fillId="33" borderId="36" xfId="0" applyNumberFormat="1" applyFont="1" applyFill="1" applyBorder="1" applyAlignment="1">
      <alignment horizontal="center" vertical="center" wrapText="1"/>
    </xf>
    <xf numFmtId="1" fontId="35" fillId="33" borderId="36" xfId="0" applyNumberFormat="1" applyFont="1" applyFill="1" applyBorder="1" applyAlignment="1">
      <alignment horizontal="center" vertical="center" wrapText="1"/>
    </xf>
    <xf numFmtId="3" fontId="35" fillId="33" borderId="36" xfId="262" applyNumberFormat="1" applyFont="1" applyFill="1" applyBorder="1" applyAlignment="1">
      <alignment vertical="center" wrapText="1"/>
    </xf>
    <xf numFmtId="1" fontId="35" fillId="33" borderId="36" xfId="262" applyNumberFormat="1" applyFont="1" applyFill="1" applyBorder="1" applyAlignment="1">
      <alignment horizontal="center" vertical="center" wrapText="1"/>
    </xf>
    <xf numFmtId="0" fontId="56" fillId="33" borderId="36" xfId="0" applyFont="1" applyFill="1" applyBorder="1" applyAlignment="1">
      <alignment horizontal="center" vertical="center" wrapText="1"/>
    </xf>
    <xf numFmtId="0" fontId="56" fillId="33" borderId="36" xfId="0" applyFont="1" applyFill="1" applyBorder="1" applyAlignment="1">
      <alignment vertical="center" wrapText="1"/>
    </xf>
    <xf numFmtId="1" fontId="56" fillId="33" borderId="36" xfId="0" applyNumberFormat="1" applyFont="1" applyFill="1" applyBorder="1" applyAlignment="1">
      <alignment horizontal="center" vertical="center" wrapText="1"/>
    </xf>
    <xf numFmtId="1" fontId="56" fillId="33" borderId="36" xfId="262" applyNumberFormat="1" applyFont="1" applyFill="1" applyBorder="1" applyAlignment="1">
      <alignment horizontal="center" vertical="center" wrapText="1"/>
    </xf>
    <xf numFmtId="49" fontId="56" fillId="33" borderId="36" xfId="0" applyNumberFormat="1" applyFont="1" applyFill="1" applyBorder="1" applyAlignment="1">
      <alignment horizontal="center" vertical="center" wrapText="1"/>
    </xf>
    <xf numFmtId="3" fontId="35" fillId="33" borderId="36" xfId="0" applyNumberFormat="1" applyFont="1" applyFill="1" applyBorder="1" applyAlignment="1">
      <alignment vertical="center" wrapText="1"/>
    </xf>
    <xf numFmtId="49" fontId="64" fillId="33" borderId="36" xfId="0" applyNumberFormat="1" applyFont="1" applyFill="1" applyBorder="1" applyAlignment="1">
      <alignment horizontal="center" vertical="center" wrapText="1"/>
    </xf>
    <xf numFmtId="0" fontId="64" fillId="33" borderId="36" xfId="0" applyFont="1" applyFill="1" applyBorder="1" applyAlignment="1">
      <alignment horizontal="center" vertical="center" wrapText="1"/>
    </xf>
    <xf numFmtId="0" fontId="64" fillId="33" borderId="36" xfId="0" applyFont="1" applyFill="1" applyBorder="1" applyAlignment="1">
      <alignment vertical="center" wrapText="1"/>
    </xf>
    <xf numFmtId="2" fontId="64" fillId="33" borderId="36" xfId="0" applyNumberFormat="1" applyFont="1" applyFill="1" applyBorder="1" applyAlignment="1">
      <alignment horizontal="center" vertical="center" wrapText="1"/>
    </xf>
    <xf numFmtId="3" fontId="64" fillId="33" borderId="36" xfId="0" applyNumberFormat="1" applyFont="1" applyFill="1" applyBorder="1" applyAlignment="1">
      <alignment vertical="center" wrapText="1"/>
    </xf>
    <xf numFmtId="2" fontId="56" fillId="33" borderId="36" xfId="0" applyNumberFormat="1" applyFont="1" applyFill="1" applyBorder="1" applyAlignment="1">
      <alignment horizontal="center" vertical="center" wrapText="1"/>
    </xf>
    <xf numFmtId="3" fontId="56" fillId="33" borderId="36" xfId="0" applyNumberFormat="1" applyFont="1" applyFill="1" applyBorder="1" applyAlignment="1">
      <alignment vertical="center" wrapText="1"/>
    </xf>
    <xf numFmtId="0" fontId="36" fillId="28" borderId="36" xfId="0" applyFont="1" applyFill="1" applyBorder="1" applyAlignment="1">
      <alignment vertical="center" wrapText="1"/>
    </xf>
    <xf numFmtId="0" fontId="36" fillId="28" borderId="36" xfId="0" applyFont="1" applyFill="1" applyBorder="1" applyAlignment="1">
      <alignment horizontal="left" vertical="center" wrapText="1"/>
    </xf>
    <xf numFmtId="49" fontId="36" fillId="29" borderId="36" xfId="0" applyNumberFormat="1" applyFont="1" applyFill="1" applyBorder="1" applyAlignment="1">
      <alignment horizontal="center" vertical="center" wrapText="1"/>
    </xf>
    <xf numFmtId="0" fontId="65" fillId="0" borderId="36" xfId="0" applyFont="1" applyBorder="1" applyAlignment="1">
      <alignment horizontal="left" vertical="center" wrapText="1"/>
    </xf>
    <xf numFmtId="2" fontId="35" fillId="0" borderId="36" xfId="0" applyNumberFormat="1" applyFont="1" applyBorder="1" applyAlignment="1">
      <alignment horizontal="center" vertical="center" wrapText="1"/>
    </xf>
    <xf numFmtId="3" fontId="35" fillId="0" borderId="36" xfId="0" applyNumberFormat="1" applyFont="1" applyBorder="1" applyAlignment="1">
      <alignment vertical="center" wrapText="1"/>
    </xf>
    <xf numFmtId="0" fontId="57" fillId="33" borderId="36" xfId="0" applyFont="1" applyFill="1" applyBorder="1" applyAlignment="1">
      <alignment vertical="center" wrapText="1"/>
    </xf>
    <xf numFmtId="0" fontId="56" fillId="0" borderId="36" xfId="0" applyFont="1" applyBorder="1" applyAlignment="1">
      <alignment vertical="center" wrapText="1"/>
    </xf>
    <xf numFmtId="2" fontId="56" fillId="0" borderId="36" xfId="0" applyNumberFormat="1" applyFont="1" applyBorder="1" applyAlignment="1">
      <alignment horizontal="center" vertical="center" wrapText="1"/>
    </xf>
    <xf numFmtId="166" fontId="35" fillId="33" borderId="36" xfId="0" applyNumberFormat="1" applyFont="1" applyFill="1" applyBorder="1" applyAlignment="1">
      <alignment horizontal="center" vertical="center" wrapText="1"/>
    </xf>
    <xf numFmtId="166" fontId="56" fillId="33" borderId="36" xfId="0" applyNumberFormat="1" applyFont="1" applyFill="1" applyBorder="1" applyAlignment="1">
      <alignment horizontal="center" vertical="center" wrapText="1"/>
    </xf>
    <xf numFmtId="166" fontId="56" fillId="33" borderId="36" xfId="0" applyNumberFormat="1" applyFont="1" applyFill="1" applyBorder="1" applyAlignment="1">
      <alignment vertical="center" wrapText="1"/>
    </xf>
    <xf numFmtId="166" fontId="35" fillId="0" borderId="36" xfId="0" applyNumberFormat="1" applyFont="1" applyBorder="1" applyAlignment="1">
      <alignment horizontal="center" vertical="center" wrapText="1"/>
    </xf>
    <xf numFmtId="166" fontId="35" fillId="0" borderId="36" xfId="0" applyNumberFormat="1" applyFont="1" applyBorder="1" applyAlignment="1">
      <alignment vertical="center" wrapText="1"/>
    </xf>
    <xf numFmtId="2" fontId="35" fillId="0" borderId="36" xfId="0" applyNumberFormat="1" applyFont="1" applyBorder="1" applyAlignment="1">
      <alignment vertical="center" wrapText="1"/>
    </xf>
    <xf numFmtId="3" fontId="56" fillId="0" borderId="36" xfId="0" applyNumberFormat="1" applyFont="1" applyBorder="1" applyAlignment="1">
      <alignment vertical="center" wrapText="1"/>
    </xf>
    <xf numFmtId="49" fontId="35" fillId="33" borderId="36" xfId="0" quotePrefix="1" applyNumberFormat="1" applyFont="1" applyFill="1" applyBorder="1" applyAlignment="1">
      <alignment horizontal="center" vertical="center" wrapText="1"/>
    </xf>
    <xf numFmtId="0" fontId="28" fillId="32" borderId="36" xfId="0" applyFont="1" applyFill="1" applyBorder="1" applyAlignment="1">
      <alignment horizontal="center"/>
    </xf>
    <xf numFmtId="0" fontId="28" fillId="32" borderId="36" xfId="0" applyFont="1" applyFill="1" applyBorder="1" applyAlignment="1">
      <alignment horizontal="center" vertical="center"/>
    </xf>
    <xf numFmtId="0" fontId="29" fillId="0" borderId="36" xfId="0" applyFont="1" applyBorder="1" applyAlignment="1">
      <alignment horizontal="left"/>
    </xf>
    <xf numFmtId="0" fontId="31" fillId="0" borderId="36" xfId="0" applyFont="1" applyBorder="1" applyAlignment="1">
      <alignment horizontal="center"/>
    </xf>
    <xf numFmtId="0" fontId="31" fillId="0" borderId="36" xfId="0" applyFont="1" applyBorder="1" applyAlignment="1">
      <alignment horizontal="right"/>
    </xf>
    <xf numFmtId="0" fontId="30" fillId="0" borderId="36" xfId="0" applyFont="1" applyBorder="1" applyAlignment="1">
      <alignment horizontal="center"/>
    </xf>
    <xf numFmtId="165" fontId="28" fillId="0" borderId="36" xfId="261" applyNumberFormat="1" applyFont="1" applyBorder="1" applyAlignment="1">
      <alignment horizontal="right"/>
    </xf>
    <xf numFmtId="165" fontId="28" fillId="0" borderId="36" xfId="0" applyNumberFormat="1" applyFont="1" applyBorder="1" applyAlignment="1">
      <alignment horizontal="right"/>
    </xf>
    <xf numFmtId="2" fontId="28" fillId="0" borderId="36" xfId="0" applyNumberFormat="1" applyFont="1" applyBorder="1" applyAlignment="1">
      <alignment horizontal="center"/>
    </xf>
    <xf numFmtId="0" fontId="30" fillId="0" borderId="36" xfId="0" applyFont="1" applyBorder="1" applyAlignment="1">
      <alignment horizontal="left"/>
    </xf>
    <xf numFmtId="0" fontId="29" fillId="0" borderId="36" xfId="0" applyFont="1" applyBorder="1" applyAlignment="1">
      <alignment horizontal="left" vertical="center"/>
    </xf>
    <xf numFmtId="165" fontId="30" fillId="0" borderId="36" xfId="261" applyNumberFormat="1" applyFont="1" applyBorder="1" applyAlignment="1">
      <alignment horizontal="center" wrapText="1"/>
    </xf>
    <xf numFmtId="43" fontId="28" fillId="31" borderId="36" xfId="261" applyFont="1" applyFill="1" applyBorder="1" applyAlignment="1">
      <alignment horizontal="right"/>
    </xf>
    <xf numFmtId="165" fontId="28" fillId="31" borderId="36" xfId="261" applyNumberFormat="1" applyFont="1" applyFill="1" applyBorder="1" applyAlignment="1">
      <alignment horizontal="right"/>
    </xf>
    <xf numFmtId="43" fontId="28" fillId="0" borderId="36" xfId="261" applyFont="1" applyBorder="1" applyAlignment="1">
      <alignment horizontal="right"/>
    </xf>
    <xf numFmtId="165" fontId="30" fillId="0" borderId="36" xfId="261" applyNumberFormat="1" applyFont="1" applyBorder="1" applyAlignment="1">
      <alignment horizontal="right"/>
    </xf>
    <xf numFmtId="165" fontId="30" fillId="31" borderId="36" xfId="261" applyNumberFormat="1" applyFont="1" applyFill="1" applyBorder="1" applyAlignment="1">
      <alignment horizontal="right"/>
    </xf>
    <xf numFmtId="0" fontId="30" fillId="24" borderId="36" xfId="0" applyFont="1" applyFill="1" applyBorder="1" applyAlignment="1">
      <alignment horizontal="center" vertical="center" wrapText="1"/>
    </xf>
    <xf numFmtId="0" fontId="28" fillId="0" borderId="36" xfId="0" applyFont="1" applyBorder="1" applyAlignment="1">
      <alignment horizontal="left" vertical="center" wrapText="1"/>
    </xf>
    <xf numFmtId="172" fontId="28" fillId="0" borderId="36" xfId="0" applyNumberFormat="1" applyFont="1" applyBorder="1" applyAlignment="1">
      <alignment horizontal="right" vertical="center"/>
    </xf>
    <xf numFmtId="0" fontId="28" fillId="0" borderId="36" xfId="409" applyFont="1" applyBorder="1" applyAlignment="1">
      <alignment horizontal="left" vertical="center" wrapText="1"/>
    </xf>
    <xf numFmtId="0" fontId="28" fillId="0" borderId="36" xfId="410" applyFont="1" applyBorder="1"/>
    <xf numFmtId="9" fontId="28" fillId="0" borderId="36" xfId="0" applyNumberFormat="1" applyFont="1" applyBorder="1" applyAlignment="1">
      <alignment horizontal="center" vertical="center" wrapText="1"/>
    </xf>
    <xf numFmtId="0" fontId="57" fillId="33" borderId="36" xfId="0" applyFont="1" applyFill="1" applyBorder="1" applyAlignment="1">
      <alignment horizontal="left" vertical="center" wrapText="1"/>
    </xf>
    <xf numFmtId="49" fontId="57" fillId="33" borderId="36" xfId="0" applyNumberFormat="1" applyFont="1" applyFill="1" applyBorder="1" applyAlignment="1">
      <alignment horizontal="center" vertical="center" wrapText="1"/>
    </xf>
    <xf numFmtId="0" fontId="54" fillId="33" borderId="36" xfId="0" applyFont="1" applyFill="1" applyBorder="1" applyAlignment="1">
      <alignment vertical="center" wrapText="1"/>
    </xf>
    <xf numFmtId="0" fontId="54" fillId="33" borderId="36" xfId="0" applyFont="1" applyFill="1" applyBorder="1" applyAlignment="1">
      <alignment horizontal="center" vertical="center" wrapText="1"/>
    </xf>
    <xf numFmtId="2" fontId="54" fillId="33" borderId="36" xfId="0" applyNumberFormat="1" applyFont="1" applyFill="1" applyBorder="1" applyAlignment="1">
      <alignment horizontal="center" vertical="center" wrapText="1"/>
    </xf>
    <xf numFmtId="3" fontId="54" fillId="33" borderId="36" xfId="0" applyNumberFormat="1" applyFont="1" applyFill="1" applyBorder="1" applyAlignment="1">
      <alignment vertical="center" wrapText="1"/>
    </xf>
    <xf numFmtId="0" fontId="56" fillId="33" borderId="36" xfId="0" applyFont="1" applyFill="1" applyBorder="1" applyAlignment="1">
      <alignment horizontal="left" vertical="center" wrapText="1"/>
    </xf>
    <xf numFmtId="166" fontId="54" fillId="33" borderId="36" xfId="0" applyNumberFormat="1" applyFont="1" applyFill="1" applyBorder="1" applyAlignment="1">
      <alignment horizontal="center" vertical="center" wrapText="1"/>
    </xf>
    <xf numFmtId="49" fontId="36" fillId="0" borderId="36" xfId="0" applyNumberFormat="1" applyFont="1" applyBorder="1" applyAlignment="1">
      <alignment horizontal="center" vertical="center" wrapText="1"/>
    </xf>
    <xf numFmtId="0" fontId="36" fillId="0" borderId="36" xfId="0" applyFont="1" applyBorder="1" applyAlignment="1">
      <alignment horizontal="left" vertical="center" wrapText="1"/>
    </xf>
    <xf numFmtId="0" fontId="36" fillId="0" borderId="36" xfId="0" applyFont="1" applyBorder="1" applyAlignment="1">
      <alignment vertical="center" wrapText="1"/>
    </xf>
    <xf numFmtId="0" fontId="59" fillId="0" borderId="0" xfId="0" applyFont="1" applyAlignment="1">
      <alignment vertical="center" wrapText="1"/>
    </xf>
    <xf numFmtId="0" fontId="59" fillId="31" borderId="0" xfId="0" applyFont="1" applyFill="1" applyAlignment="1">
      <alignment vertical="center" wrapText="1"/>
    </xf>
    <xf numFmtId="49" fontId="65" fillId="0" borderId="36" xfId="0" applyNumberFormat="1" applyFont="1" applyBorder="1" applyAlignment="1">
      <alignment horizontal="center" vertical="center" wrapText="1"/>
    </xf>
    <xf numFmtId="49" fontId="65" fillId="27" borderId="36" xfId="0" applyNumberFormat="1" applyFont="1" applyFill="1" applyBorder="1" applyAlignment="1">
      <alignment horizontal="center" vertical="center" wrapText="1"/>
    </xf>
    <xf numFmtId="0" fontId="65" fillId="27" borderId="36" xfId="0" applyFont="1" applyFill="1" applyBorder="1" applyAlignment="1">
      <alignment horizontal="left" vertical="center" wrapText="1"/>
    </xf>
    <xf numFmtId="166" fontId="56" fillId="0" borderId="36" xfId="0" applyNumberFormat="1" applyFont="1" applyBorder="1" applyAlignment="1">
      <alignment horizontal="center" vertical="center" wrapText="1"/>
    </xf>
    <xf numFmtId="1" fontId="45" fillId="33" borderId="36" xfId="0" applyNumberFormat="1" applyFont="1" applyFill="1" applyBorder="1" applyAlignment="1">
      <alignment horizontal="center" vertical="center" wrapText="1"/>
    </xf>
    <xf numFmtId="0" fontId="54" fillId="33" borderId="36" xfId="0" applyFont="1" applyFill="1" applyBorder="1" applyAlignment="1">
      <alignment horizontal="left" vertical="center" wrapText="1"/>
    </xf>
    <xf numFmtId="49" fontId="58" fillId="0" borderId="36" xfId="0" quotePrefix="1" applyNumberFormat="1" applyFont="1" applyBorder="1" applyAlignment="1">
      <alignment horizontal="center" vertical="center" wrapText="1"/>
    </xf>
    <xf numFmtId="0" fontId="30" fillId="33" borderId="36" xfId="0" applyFont="1" applyFill="1" applyBorder="1" applyAlignment="1">
      <alignment vertical="center" wrapText="1"/>
    </xf>
    <xf numFmtId="3" fontId="35" fillId="0" borderId="21" xfId="0" applyNumberFormat="1" applyFont="1" applyBorder="1" applyAlignment="1">
      <alignment horizontal="right" vertical="center" wrapText="1"/>
    </xf>
    <xf numFmtId="0" fontId="35" fillId="0" borderId="21" xfId="0" applyFont="1" applyBorder="1" applyAlignment="1">
      <alignment horizontal="center" vertical="center" wrapText="1"/>
    </xf>
    <xf numFmtId="49" fontId="54" fillId="33" borderId="36" xfId="0" applyNumberFormat="1" applyFont="1" applyFill="1" applyBorder="1" applyAlignment="1">
      <alignment horizontal="center" vertical="center" wrapText="1"/>
    </xf>
    <xf numFmtId="3" fontId="30" fillId="30" borderId="36" xfId="0" applyNumberFormat="1" applyFont="1" applyFill="1" applyBorder="1" applyAlignment="1">
      <alignment horizontal="center" vertical="center" wrapText="1"/>
    </xf>
    <xf numFmtId="0" fontId="37" fillId="33" borderId="36" xfId="0" applyFont="1" applyFill="1" applyBorder="1" applyAlignment="1">
      <alignment horizontal="center" vertical="center" wrapText="1"/>
    </xf>
    <xf numFmtId="0" fontId="37" fillId="33" borderId="36" xfId="0" applyFont="1" applyFill="1" applyBorder="1" applyAlignment="1">
      <alignment vertical="center" wrapText="1"/>
    </xf>
    <xf numFmtId="2" fontId="37" fillId="33" borderId="36" xfId="0" applyNumberFormat="1" applyFont="1" applyFill="1" applyBorder="1" applyAlignment="1">
      <alignment horizontal="center" vertical="center" wrapText="1"/>
    </xf>
    <xf numFmtId="2" fontId="57" fillId="33" borderId="36" xfId="0" applyNumberFormat="1" applyFont="1" applyFill="1" applyBorder="1" applyAlignment="1">
      <alignment horizontal="center" vertical="center" wrapText="1"/>
    </xf>
    <xf numFmtId="3" fontId="37" fillId="33" borderId="36" xfId="0" applyNumberFormat="1" applyFont="1" applyFill="1" applyBorder="1" applyAlignment="1">
      <alignment vertical="center" wrapText="1"/>
    </xf>
    <xf numFmtId="0" fontId="68" fillId="0" borderId="36" xfId="0" applyFont="1" applyBorder="1" applyAlignment="1">
      <alignment horizontal="left" vertical="center" wrapText="1"/>
    </xf>
    <xf numFmtId="0" fontId="57" fillId="33" borderId="36" xfId="0" applyFont="1" applyFill="1" applyBorder="1" applyAlignment="1">
      <alignment horizontal="center" vertical="center" wrapText="1"/>
    </xf>
    <xf numFmtId="0" fontId="68" fillId="0" borderId="0" xfId="0" applyFont="1" applyAlignment="1">
      <alignment vertical="center" wrapText="1"/>
    </xf>
    <xf numFmtId="3" fontId="57" fillId="33" borderId="36" xfId="0" applyNumberFormat="1" applyFont="1" applyFill="1" applyBorder="1" applyAlignment="1">
      <alignment vertical="center" wrapText="1"/>
    </xf>
    <xf numFmtId="0" fontId="53" fillId="33" borderId="36" xfId="0" applyFont="1" applyFill="1" applyBorder="1" applyAlignment="1">
      <alignment horizontal="center" vertical="center" wrapText="1"/>
    </xf>
    <xf numFmtId="0" fontId="53" fillId="33" borderId="36" xfId="0" applyFont="1" applyFill="1" applyBorder="1" applyAlignment="1">
      <alignment vertical="center" wrapText="1"/>
    </xf>
    <xf numFmtId="2" fontId="53" fillId="33" borderId="36" xfId="0" applyNumberFormat="1" applyFont="1" applyFill="1" applyBorder="1" applyAlignment="1">
      <alignment horizontal="center" vertical="center" wrapText="1"/>
    </xf>
    <xf numFmtId="49" fontId="53" fillId="33" borderId="36" xfId="0" applyNumberFormat="1" applyFont="1" applyFill="1" applyBorder="1" applyAlignment="1">
      <alignment horizontal="center" vertical="center" wrapText="1"/>
    </xf>
    <xf numFmtId="166" fontId="53" fillId="33" borderId="36" xfId="0" applyNumberFormat="1" applyFont="1" applyFill="1" applyBorder="1" applyAlignment="1">
      <alignment horizontal="center" vertical="center" wrapText="1"/>
    </xf>
    <xf numFmtId="3" fontId="53" fillId="33" borderId="36" xfId="0" applyNumberFormat="1" applyFont="1" applyFill="1" applyBorder="1" applyAlignment="1">
      <alignment vertical="center" wrapText="1"/>
    </xf>
    <xf numFmtId="0" fontId="57" fillId="0" borderId="36" xfId="0" applyFont="1" applyBorder="1" applyAlignment="1">
      <alignment horizontal="center" vertical="center" wrapText="1"/>
    </xf>
    <xf numFmtId="0" fontId="57" fillId="0" borderId="36" xfId="0" applyFont="1" applyBorder="1" applyAlignment="1">
      <alignment horizontal="justify" vertical="center" wrapText="1"/>
    </xf>
    <xf numFmtId="0" fontId="56" fillId="33" borderId="36" xfId="0" applyFont="1" applyFill="1" applyBorder="1" applyAlignment="1">
      <alignment horizontal="right" vertical="center" wrapText="1"/>
    </xf>
    <xf numFmtId="173" fontId="56" fillId="33" borderId="36" xfId="0" applyNumberFormat="1" applyFont="1" applyFill="1" applyBorder="1" applyAlignment="1">
      <alignment horizontal="center" vertical="center" wrapText="1"/>
    </xf>
    <xf numFmtId="173" fontId="56" fillId="33" borderId="36" xfId="0" applyNumberFormat="1" applyFont="1" applyFill="1" applyBorder="1" applyAlignment="1">
      <alignment vertical="center" wrapText="1"/>
    </xf>
    <xf numFmtId="49" fontId="54" fillId="0" borderId="36" xfId="0" applyNumberFormat="1" applyFont="1" applyBorder="1" applyAlignment="1">
      <alignment horizontal="center" vertical="center" wrapText="1"/>
    </xf>
    <xf numFmtId="0" fontId="54" fillId="0" borderId="36" xfId="0" applyFont="1" applyBorder="1" applyAlignment="1">
      <alignment vertical="center" wrapText="1"/>
    </xf>
    <xf numFmtId="0" fontId="54" fillId="0" borderId="36" xfId="0" applyFont="1" applyBorder="1" applyAlignment="1">
      <alignment horizontal="center" vertical="center" wrapText="1"/>
    </xf>
    <xf numFmtId="2" fontId="54" fillId="0" borderId="36" xfId="0" applyNumberFormat="1" applyFont="1" applyBorder="1" applyAlignment="1">
      <alignment horizontal="center" vertical="center" wrapText="1"/>
    </xf>
    <xf numFmtId="166" fontId="54" fillId="0" borderId="36" xfId="0" applyNumberFormat="1" applyFont="1" applyBorder="1" applyAlignment="1">
      <alignment horizontal="center" vertical="center" wrapText="1"/>
    </xf>
    <xf numFmtId="166" fontId="54" fillId="0" borderId="36" xfId="0" applyNumberFormat="1" applyFont="1" applyBorder="1" applyAlignment="1">
      <alignment vertical="center" wrapText="1"/>
    </xf>
    <xf numFmtId="3" fontId="54" fillId="0" borderId="36" xfId="0" applyNumberFormat="1" applyFont="1" applyBorder="1" applyAlignment="1">
      <alignment vertical="center" wrapText="1"/>
    </xf>
    <xf numFmtId="166" fontId="57" fillId="0" borderId="36" xfId="0" applyNumberFormat="1" applyFont="1" applyBorder="1" applyAlignment="1">
      <alignment horizontal="center" vertical="center" wrapText="1"/>
    </xf>
    <xf numFmtId="166" fontId="57" fillId="33" borderId="36" xfId="0" applyNumberFormat="1" applyFont="1" applyFill="1" applyBorder="1" applyAlignment="1">
      <alignment horizontal="center" vertical="center" wrapText="1"/>
    </xf>
    <xf numFmtId="166" fontId="57" fillId="33" borderId="36" xfId="0" applyNumberFormat="1" applyFont="1" applyFill="1" applyBorder="1" applyAlignment="1">
      <alignment vertical="center" wrapText="1"/>
    </xf>
    <xf numFmtId="49" fontId="54" fillId="0" borderId="75" xfId="0" applyNumberFormat="1" applyFont="1" applyBorder="1" applyAlignment="1">
      <alignment horizontal="center" vertical="center" wrapText="1"/>
    </xf>
    <xf numFmtId="0" fontId="35" fillId="29" borderId="0" xfId="0" applyFont="1" applyFill="1" applyAlignment="1">
      <alignment vertical="center" wrapText="1"/>
    </xf>
    <xf numFmtId="0" fontId="71" fillId="0" borderId="0" xfId="0" applyFont="1" applyAlignment="1">
      <alignment horizontal="left" vertical="center"/>
    </xf>
    <xf numFmtId="49" fontId="71" fillId="0" borderId="0" xfId="0" applyNumberFormat="1" applyFont="1" applyAlignment="1">
      <alignment horizontal="center" vertical="center"/>
    </xf>
    <xf numFmtId="173" fontId="56" fillId="0" borderId="36" xfId="0" applyNumberFormat="1" applyFont="1" applyBorder="1" applyAlignment="1">
      <alignment horizontal="center" vertical="center" wrapText="1"/>
    </xf>
    <xf numFmtId="0" fontId="69" fillId="0" borderId="36" xfId="0" applyFont="1" applyBorder="1" applyAlignment="1">
      <alignment vertical="center" wrapText="1"/>
    </xf>
    <xf numFmtId="2" fontId="56" fillId="33" borderId="36" xfId="0" applyNumberFormat="1" applyFont="1" applyFill="1" applyBorder="1" applyAlignment="1">
      <alignment vertical="center" wrapText="1"/>
    </xf>
    <xf numFmtId="4" fontId="56" fillId="0" borderId="36" xfId="0" applyNumberFormat="1" applyFont="1" applyBorder="1" applyAlignment="1">
      <alignment horizontal="center" vertical="center" wrapText="1"/>
    </xf>
    <xf numFmtId="3" fontId="36" fillId="0" borderId="0" xfId="0" applyNumberFormat="1" applyFont="1" applyAlignment="1">
      <alignment vertical="center" wrapText="1"/>
    </xf>
    <xf numFmtId="172" fontId="71" fillId="33" borderId="0" xfId="0" applyNumberFormat="1" applyFont="1" applyFill="1" applyAlignment="1">
      <alignment horizontal="center" vertical="center"/>
    </xf>
    <xf numFmtId="3" fontId="71" fillId="33" borderId="0" xfId="0" applyNumberFormat="1" applyFont="1" applyFill="1" applyAlignment="1">
      <alignment horizontal="right" vertical="center" wrapText="1"/>
    </xf>
    <xf numFmtId="3" fontId="72" fillId="33" borderId="0" xfId="0" applyNumberFormat="1" applyFont="1" applyFill="1" applyAlignment="1">
      <alignment horizontal="right" vertical="center" wrapText="1"/>
    </xf>
    <xf numFmtId="3" fontId="36" fillId="33" borderId="36" xfId="0" applyNumberFormat="1" applyFont="1" applyFill="1" applyBorder="1" applyAlignment="1">
      <alignment horizontal="right" vertical="center" wrapText="1"/>
    </xf>
    <xf numFmtId="3" fontId="35" fillId="33" borderId="0" xfId="0" applyNumberFormat="1" applyFont="1" applyFill="1" applyAlignment="1">
      <alignment horizontal="right" vertical="center" wrapText="1"/>
    </xf>
    <xf numFmtId="0" fontId="35" fillId="0" borderId="21" xfId="0" applyFont="1" applyBorder="1" applyAlignment="1">
      <alignment vertical="center" wrapText="1"/>
    </xf>
    <xf numFmtId="173" fontId="35" fillId="0" borderId="21" xfId="0" applyNumberFormat="1" applyFont="1" applyBorder="1" applyAlignment="1">
      <alignment horizontal="right" vertical="center" wrapText="1"/>
    </xf>
    <xf numFmtId="0" fontId="36" fillId="33" borderId="0" xfId="0" applyFont="1" applyFill="1" applyAlignment="1">
      <alignment horizontal="center" vertical="center" wrapText="1"/>
    </xf>
    <xf numFmtId="49" fontId="72" fillId="0" borderId="12" xfId="0" applyNumberFormat="1" applyFont="1" applyBorder="1" applyAlignment="1">
      <alignment horizontal="center" vertical="center" wrapText="1"/>
    </xf>
    <xf numFmtId="3" fontId="36" fillId="0" borderId="0" xfId="0" applyNumberFormat="1" applyFont="1" applyAlignment="1">
      <alignment horizontal="right" vertical="center" wrapText="1"/>
    </xf>
    <xf numFmtId="3" fontId="71" fillId="0" borderId="0" xfId="0" applyNumberFormat="1" applyFont="1" applyAlignment="1">
      <alignment horizontal="right" vertical="center" wrapText="1"/>
    </xf>
    <xf numFmtId="3" fontId="72" fillId="0" borderId="0" xfId="0" applyNumberFormat="1" applyFont="1" applyAlignment="1">
      <alignment horizontal="right" vertical="center" wrapText="1"/>
    </xf>
    <xf numFmtId="3" fontId="36" fillId="0" borderId="36" xfId="0" applyNumberFormat="1" applyFont="1" applyBorder="1" applyAlignment="1">
      <alignment horizontal="right" vertical="center" wrapText="1"/>
    </xf>
    <xf numFmtId="3" fontId="36" fillId="0" borderId="36" xfId="0" applyNumberFormat="1" applyFont="1" applyBorder="1" applyAlignment="1">
      <alignment horizontal="center" vertical="center"/>
    </xf>
    <xf numFmtId="173" fontId="36" fillId="0" borderId="0" xfId="0" applyNumberFormat="1" applyFont="1" applyAlignment="1">
      <alignment horizontal="right" vertical="center" wrapText="1"/>
    </xf>
    <xf numFmtId="0" fontId="36" fillId="0" borderId="36" xfId="0" applyFont="1" applyBorder="1" applyAlignment="1">
      <alignment horizontal="center" vertical="center"/>
    </xf>
    <xf numFmtId="49" fontId="36" fillId="0" borderId="36" xfId="0" applyNumberFormat="1" applyFont="1" applyBorder="1" applyAlignment="1">
      <alignment horizontal="center" vertical="center"/>
    </xf>
    <xf numFmtId="4" fontId="36" fillId="0" borderId="36" xfId="0" applyNumberFormat="1" applyFont="1" applyBorder="1" applyAlignment="1">
      <alignment horizontal="center" vertical="center" wrapText="1"/>
    </xf>
    <xf numFmtId="173" fontId="36" fillId="0" borderId="36" xfId="0" applyNumberFormat="1" applyFont="1" applyBorder="1" applyAlignment="1">
      <alignment horizontal="right" vertical="center" wrapText="1"/>
    </xf>
    <xf numFmtId="4" fontId="36" fillId="0" borderId="36" xfId="0" applyNumberFormat="1" applyFont="1" applyBorder="1" applyAlignment="1">
      <alignment horizontal="center" vertical="center"/>
    </xf>
    <xf numFmtId="1" fontId="35" fillId="0" borderId="36" xfId="0" applyNumberFormat="1" applyFont="1" applyBorder="1" applyAlignment="1">
      <alignment horizontal="center" vertical="center" wrapText="1"/>
    </xf>
    <xf numFmtId="3" fontId="35" fillId="0" borderId="36" xfId="262" applyNumberFormat="1" applyFont="1" applyFill="1" applyBorder="1" applyAlignment="1">
      <alignment horizontal="right" vertical="center" wrapText="1"/>
    </xf>
    <xf numFmtId="0" fontId="35" fillId="0" borderId="36" xfId="0" applyFont="1" applyBorder="1" applyAlignment="1">
      <alignment horizontal="center" vertical="center"/>
    </xf>
    <xf numFmtId="0" fontId="73" fillId="0" borderId="0" xfId="0" applyFont="1" applyAlignment="1">
      <alignment horizontal="center" vertical="center" wrapText="1"/>
    </xf>
    <xf numFmtId="0" fontId="73" fillId="0" borderId="36" xfId="0" applyFont="1" applyBorder="1" applyAlignment="1">
      <alignment horizontal="center" vertical="center" wrapText="1"/>
    </xf>
    <xf numFmtId="0" fontId="73" fillId="0" borderId="36" xfId="0" applyFont="1" applyBorder="1" applyAlignment="1">
      <alignment horizontal="left" vertical="center" wrapText="1"/>
    </xf>
    <xf numFmtId="1" fontId="73" fillId="0" borderId="36" xfId="0" applyNumberFormat="1" applyFont="1" applyBorder="1" applyAlignment="1">
      <alignment horizontal="center" vertical="center" wrapText="1"/>
    </xf>
    <xf numFmtId="49" fontId="73" fillId="0" borderId="36" xfId="0" applyNumberFormat="1" applyFont="1" applyBorder="1" applyAlignment="1">
      <alignment horizontal="center" vertical="center" wrapText="1"/>
    </xf>
    <xf numFmtId="166" fontId="73" fillId="0" borderId="36" xfId="0" applyNumberFormat="1" applyFont="1" applyBorder="1" applyAlignment="1">
      <alignment horizontal="center" vertical="center" wrapText="1"/>
    </xf>
    <xf numFmtId="3" fontId="73" fillId="0" borderId="36" xfId="262" applyNumberFormat="1" applyFont="1" applyFill="1" applyBorder="1" applyAlignment="1">
      <alignment horizontal="right" vertical="center" wrapText="1"/>
    </xf>
    <xf numFmtId="3" fontId="73" fillId="0" borderId="36" xfId="0" applyNumberFormat="1" applyFont="1" applyBorder="1" applyAlignment="1">
      <alignment horizontal="right" vertical="center" wrapText="1"/>
    </xf>
    <xf numFmtId="0" fontId="73" fillId="0" borderId="36" xfId="0" applyFont="1" applyBorder="1" applyAlignment="1">
      <alignment vertical="center" wrapText="1"/>
    </xf>
    <xf numFmtId="173" fontId="36" fillId="0" borderId="36" xfId="0" applyNumberFormat="1" applyFont="1" applyBorder="1" applyAlignment="1">
      <alignment horizontal="left" vertical="center" wrapText="1"/>
    </xf>
    <xf numFmtId="0" fontId="73" fillId="33" borderId="36" xfId="0" applyFont="1" applyFill="1" applyBorder="1" applyAlignment="1">
      <alignment horizontal="center" vertical="center" wrapText="1"/>
    </xf>
    <xf numFmtId="0" fontId="73" fillId="33" borderId="36" xfId="0" applyFont="1" applyFill="1" applyBorder="1" applyAlignment="1">
      <alignment vertical="center" wrapText="1"/>
    </xf>
    <xf numFmtId="49" fontId="73" fillId="33" borderId="36" xfId="0" quotePrefix="1" applyNumberFormat="1" applyFont="1" applyFill="1" applyBorder="1" applyAlignment="1">
      <alignment horizontal="center" vertical="center" wrapText="1"/>
    </xf>
    <xf numFmtId="0" fontId="73" fillId="33" borderId="36" xfId="0" applyFont="1" applyFill="1" applyBorder="1" applyAlignment="1">
      <alignment horizontal="right" vertical="center" wrapText="1"/>
    </xf>
    <xf numFmtId="173" fontId="73" fillId="33" borderId="36" xfId="0" applyNumberFormat="1" applyFont="1" applyFill="1" applyBorder="1" applyAlignment="1">
      <alignment horizontal="right" vertical="center" wrapText="1"/>
    </xf>
    <xf numFmtId="3" fontId="73" fillId="33" borderId="36" xfId="0" applyNumberFormat="1" applyFont="1" applyFill="1" applyBorder="1" applyAlignment="1">
      <alignment horizontal="right" vertical="center" wrapText="1"/>
    </xf>
    <xf numFmtId="0" fontId="70" fillId="33" borderId="0" xfId="0" applyFont="1" applyFill="1" applyAlignment="1">
      <alignment horizontal="center" vertical="center" wrapText="1"/>
    </xf>
    <xf numFmtId="0" fontId="70" fillId="33" borderId="0" xfId="0" applyFont="1" applyFill="1" applyAlignment="1">
      <alignment horizontal="left" vertical="center" wrapText="1"/>
    </xf>
    <xf numFmtId="0" fontId="73" fillId="33" borderId="0" xfId="0" applyFont="1" applyFill="1" applyAlignment="1">
      <alignment horizontal="center" vertical="center" wrapText="1"/>
    </xf>
    <xf numFmtId="173" fontId="73" fillId="33" borderId="0" xfId="0" applyNumberFormat="1" applyFont="1" applyFill="1" applyAlignment="1">
      <alignment horizontal="right" vertical="center" wrapText="1"/>
    </xf>
    <xf numFmtId="3" fontId="73" fillId="33" borderId="0" xfId="0" applyNumberFormat="1" applyFont="1" applyFill="1" applyAlignment="1">
      <alignment horizontal="right" vertical="center" wrapText="1"/>
    </xf>
    <xf numFmtId="0" fontId="70" fillId="0" borderId="36" xfId="0" applyFont="1" applyBorder="1" applyAlignment="1">
      <alignment horizontal="left" vertical="center" wrapText="1"/>
    </xf>
    <xf numFmtId="0" fontId="70" fillId="0" borderId="36" xfId="0" applyFont="1" applyBorder="1" applyAlignment="1">
      <alignment horizontal="center" vertical="center" wrapText="1"/>
    </xf>
    <xf numFmtId="3" fontId="70" fillId="0" borderId="36" xfId="0" applyNumberFormat="1" applyFont="1" applyBorder="1" applyAlignment="1">
      <alignment horizontal="right" vertical="center" wrapText="1"/>
    </xf>
    <xf numFmtId="0" fontId="74" fillId="0" borderId="36" xfId="0" applyFont="1" applyBorder="1" applyAlignment="1">
      <alignment horizontal="center" vertical="center" wrapText="1"/>
    </xf>
    <xf numFmtId="0" fontId="74" fillId="0" borderId="36" xfId="0" applyFont="1" applyBorder="1" applyAlignment="1">
      <alignment vertical="center" wrapText="1"/>
    </xf>
    <xf numFmtId="3" fontId="37" fillId="0" borderId="36" xfId="0" applyNumberFormat="1" applyFont="1" applyBorder="1" applyAlignment="1">
      <alignment horizontal="right" vertical="center" wrapText="1"/>
    </xf>
    <xf numFmtId="0" fontId="71" fillId="0" borderId="0" xfId="0" applyFont="1" applyAlignment="1">
      <alignment horizontal="center"/>
    </xf>
    <xf numFmtId="0" fontId="71" fillId="0" borderId="0" xfId="0" applyFont="1" applyAlignment="1">
      <alignment horizontal="center" vertical="center"/>
    </xf>
    <xf numFmtId="0" fontId="71" fillId="0" borderId="0" xfId="0" applyFont="1" applyAlignment="1">
      <alignment horizontal="center" vertical="center" wrapText="1"/>
    </xf>
    <xf numFmtId="0" fontId="71" fillId="0" borderId="0" xfId="0" applyFont="1" applyAlignment="1">
      <alignment vertical="center" wrapText="1"/>
    </xf>
    <xf numFmtId="1" fontId="72" fillId="0" borderId="0" xfId="0" applyNumberFormat="1" applyFont="1" applyAlignment="1">
      <alignment horizontal="center" vertical="center" wrapText="1"/>
    </xf>
    <xf numFmtId="0" fontId="72" fillId="0" borderId="0" xfId="0" applyFont="1" applyAlignment="1">
      <alignment vertical="center" wrapText="1"/>
    </xf>
    <xf numFmtId="0" fontId="75" fillId="0" borderId="0" xfId="0" applyFont="1" applyAlignment="1">
      <alignment vertical="center" wrapText="1"/>
    </xf>
    <xf numFmtId="0" fontId="72" fillId="0" borderId="0" xfId="0" applyFont="1" applyAlignment="1">
      <alignment horizontal="center" vertical="center" wrapText="1"/>
    </xf>
    <xf numFmtId="3" fontId="28" fillId="0" borderId="47" xfId="0" applyNumberFormat="1" applyFont="1" applyBorder="1" applyAlignment="1">
      <alignment vertical="center"/>
    </xf>
    <xf numFmtId="3" fontId="28" fillId="0" borderId="56" xfId="0" applyNumberFormat="1" applyFont="1" applyBorder="1" applyAlignment="1">
      <alignment vertical="center"/>
    </xf>
    <xf numFmtId="172" fontId="28" fillId="0" borderId="56" xfId="0" applyNumberFormat="1" applyFont="1" applyBorder="1" applyAlignment="1">
      <alignment vertical="center"/>
    </xf>
    <xf numFmtId="3" fontId="28" fillId="0" borderId="57" xfId="0" applyNumberFormat="1" applyFont="1" applyBorder="1" applyAlignment="1">
      <alignment vertical="center"/>
    </xf>
    <xf numFmtId="0" fontId="28" fillId="0" borderId="55" xfId="0" applyFont="1" applyBorder="1" applyAlignment="1">
      <alignment horizontal="left" vertical="center" wrapText="1"/>
    </xf>
    <xf numFmtId="2" fontId="30" fillId="0" borderId="36" xfId="0" applyNumberFormat="1" applyFont="1" applyBorder="1" applyAlignment="1">
      <alignment horizontal="center" vertical="top" wrapText="1"/>
    </xf>
    <xf numFmtId="173" fontId="28" fillId="0" borderId="36" xfId="0" applyNumberFormat="1" applyFont="1" applyBorder="1" applyAlignment="1">
      <alignment vertical="center"/>
    </xf>
    <xf numFmtId="0" fontId="28" fillId="0" borderId="36" xfId="0" applyFont="1" applyBorder="1" applyAlignment="1">
      <alignment vertical="center" wrapText="1"/>
    </xf>
    <xf numFmtId="0" fontId="28" fillId="0" borderId="20" xfId="0" applyFont="1" applyBorder="1" applyAlignment="1">
      <alignment horizontal="left" vertical="center" wrapText="1"/>
    </xf>
    <xf numFmtId="9" fontId="28" fillId="0" borderId="20" xfId="0" applyNumberFormat="1" applyFont="1" applyBorder="1" applyAlignment="1">
      <alignment horizontal="center" vertical="center" wrapText="1"/>
    </xf>
    <xf numFmtId="165" fontId="28" fillId="0" borderId="20" xfId="261" applyNumberFormat="1" applyFont="1" applyBorder="1" applyAlignment="1">
      <alignment horizontal="right" vertical="center"/>
    </xf>
    <xf numFmtId="173" fontId="28" fillId="0" borderId="20" xfId="0" applyNumberFormat="1" applyFont="1" applyBorder="1" applyAlignment="1">
      <alignment horizontal="right" vertical="center"/>
    </xf>
    <xf numFmtId="3" fontId="28" fillId="0" borderId="20" xfId="0" applyNumberFormat="1" applyFont="1" applyBorder="1" applyAlignment="1">
      <alignment horizontal="right" vertical="center"/>
    </xf>
    <xf numFmtId="3" fontId="34" fillId="29" borderId="25" xfId="0" applyNumberFormat="1" applyFont="1" applyFill="1" applyBorder="1" applyAlignment="1">
      <alignment horizontal="center" vertical="center"/>
    </xf>
    <xf numFmtId="0" fontId="32" fillId="29" borderId="36" xfId="0" applyFont="1" applyFill="1" applyBorder="1" applyAlignment="1">
      <alignment horizontal="left" vertical="center" wrapText="1"/>
    </xf>
    <xf numFmtId="172" fontId="28" fillId="0" borderId="45" xfId="0" applyNumberFormat="1" applyFont="1" applyBorder="1" applyAlignment="1">
      <alignment vertical="center"/>
    </xf>
    <xf numFmtId="177" fontId="50" fillId="24" borderId="36" xfId="0" applyNumberFormat="1" applyFont="1" applyFill="1" applyBorder="1" applyAlignment="1">
      <alignment horizontal="center" vertical="center" wrapText="1"/>
    </xf>
    <xf numFmtId="3" fontId="30" fillId="29" borderId="36" xfId="0" applyNumberFormat="1" applyFont="1" applyFill="1" applyBorder="1" applyAlignment="1">
      <alignment horizontal="right" vertical="center"/>
    </xf>
    <xf numFmtId="3" fontId="34" fillId="29" borderId="36" xfId="0" applyNumberFormat="1" applyFont="1" applyFill="1" applyBorder="1" applyAlignment="1">
      <alignment horizontal="right" vertical="center"/>
    </xf>
    <xf numFmtId="4" fontId="28" fillId="0" borderId="36" xfId="0" applyNumberFormat="1" applyFont="1" applyBorder="1" applyAlignment="1">
      <alignment vertical="center"/>
    </xf>
    <xf numFmtId="173" fontId="28" fillId="0" borderId="36" xfId="0" applyNumberFormat="1" applyFont="1" applyBorder="1" applyAlignment="1">
      <alignment horizontal="right" vertical="center"/>
    </xf>
    <xf numFmtId="4" fontId="28" fillId="0" borderId="36" xfId="0" applyNumberFormat="1" applyFont="1" applyBorder="1" applyAlignment="1">
      <alignment horizontal="right" vertical="center"/>
    </xf>
    <xf numFmtId="0" fontId="30" fillId="0" borderId="36" xfId="0" applyFont="1" applyBorder="1" applyAlignment="1">
      <alignment horizontal="center" vertical="center"/>
    </xf>
    <xf numFmtId="0" fontId="28" fillId="0" borderId="44" xfId="0" applyFont="1" applyBorder="1" applyAlignment="1">
      <alignment horizontal="center" vertical="center"/>
    </xf>
    <xf numFmtId="165" fontId="28" fillId="0" borderId="0" xfId="261" applyNumberFormat="1" applyFont="1" applyBorder="1" applyAlignment="1">
      <alignment vertical="center"/>
    </xf>
    <xf numFmtId="3" fontId="28" fillId="0" borderId="29" xfId="0" applyNumberFormat="1" applyFont="1" applyBorder="1" applyAlignment="1">
      <alignment horizontal="right" vertical="center"/>
    </xf>
    <xf numFmtId="172" fontId="28" fillId="0" borderId="55" xfId="0" applyNumberFormat="1" applyFont="1" applyBorder="1" applyAlignment="1">
      <alignment vertical="center"/>
    </xf>
    <xf numFmtId="3" fontId="28" fillId="0" borderId="59" xfId="0" applyNumberFormat="1" applyFont="1" applyBorder="1" applyAlignment="1">
      <alignment vertical="center"/>
    </xf>
    <xf numFmtId="172" fontId="49" fillId="0" borderId="55" xfId="0" applyNumberFormat="1" applyFont="1" applyBorder="1" applyAlignment="1">
      <alignment vertical="center"/>
    </xf>
    <xf numFmtId="0" fontId="76" fillId="0" borderId="0" xfId="0" applyFont="1" applyAlignment="1">
      <alignment vertical="center" wrapText="1"/>
    </xf>
    <xf numFmtId="0" fontId="77" fillId="0" borderId="0" xfId="0" applyFont="1" applyAlignment="1">
      <alignment vertical="center" wrapText="1"/>
    </xf>
    <xf numFmtId="0" fontId="78" fillId="0" borderId="0" xfId="0" applyFont="1" applyAlignment="1">
      <alignment vertical="center" wrapText="1"/>
    </xf>
    <xf numFmtId="0" fontId="67" fillId="0" borderId="0" xfId="0" applyFont="1" applyAlignment="1">
      <alignment vertical="center" wrapText="1"/>
    </xf>
    <xf numFmtId="0" fontId="79" fillId="0" borderId="0" xfId="0" applyFont="1" applyAlignment="1">
      <alignment vertical="center" wrapText="1"/>
    </xf>
    <xf numFmtId="4" fontId="28" fillId="0" borderId="11" xfId="0" applyNumberFormat="1" applyFont="1" applyBorder="1" applyAlignment="1">
      <alignment horizontal="right" vertical="center"/>
    </xf>
    <xf numFmtId="4" fontId="28" fillId="0" borderId="20" xfId="0" applyNumberFormat="1" applyFont="1" applyBorder="1" applyAlignment="1">
      <alignment horizontal="right" vertical="center"/>
    </xf>
    <xf numFmtId="3" fontId="67" fillId="0" borderId="36" xfId="0" applyNumberFormat="1" applyFont="1" applyBorder="1" applyAlignment="1">
      <alignment horizontal="right" vertical="center" wrapText="1"/>
    </xf>
    <xf numFmtId="165" fontId="82" fillId="0" borderId="36" xfId="263" applyNumberFormat="1" applyFont="1" applyBorder="1" applyAlignment="1">
      <alignment horizontal="center" vertical="center"/>
    </xf>
    <xf numFmtId="165" fontId="62" fillId="31" borderId="36" xfId="263" applyNumberFormat="1" applyFont="1" applyFill="1" applyBorder="1" applyAlignment="1">
      <alignment horizontal="center" vertical="center"/>
    </xf>
    <xf numFmtId="165" fontId="66" fillId="32" borderId="36" xfId="261" applyNumberFormat="1" applyFont="1" applyFill="1" applyBorder="1" applyAlignment="1">
      <alignment horizontal="center" vertical="center"/>
    </xf>
    <xf numFmtId="175" fontId="67" fillId="32" borderId="36" xfId="0" applyNumberFormat="1" applyFont="1" applyFill="1" applyBorder="1" applyAlignment="1">
      <alignment horizontal="center" vertical="center"/>
    </xf>
    <xf numFmtId="0" fontId="67" fillId="32" borderId="36" xfId="0" applyFont="1" applyFill="1" applyBorder="1" applyAlignment="1">
      <alignment horizontal="center" vertical="center"/>
    </xf>
    <xf numFmtId="49" fontId="57" fillId="0" borderId="36" xfId="0" applyNumberFormat="1" applyFont="1" applyBorder="1" applyAlignment="1">
      <alignment horizontal="center" vertical="center" wrapText="1"/>
    </xf>
    <xf numFmtId="0" fontId="57" fillId="0" borderId="36" xfId="0" applyFont="1" applyBorder="1" applyAlignment="1">
      <alignment vertical="center" wrapText="1"/>
    </xf>
    <xf numFmtId="1" fontId="35" fillId="0" borderId="36" xfId="262" applyNumberFormat="1" applyFont="1" applyFill="1" applyBorder="1" applyAlignment="1">
      <alignment horizontal="center" vertical="center" wrapText="1"/>
    </xf>
    <xf numFmtId="1" fontId="45" fillId="0" borderId="36" xfId="0" applyNumberFormat="1" applyFont="1" applyBorder="1" applyAlignment="1">
      <alignment horizontal="center" vertical="center" wrapText="1"/>
    </xf>
    <xf numFmtId="3" fontId="35" fillId="0" borderId="36" xfId="262" applyNumberFormat="1" applyFont="1" applyFill="1" applyBorder="1" applyAlignment="1">
      <alignment vertical="center" wrapText="1"/>
    </xf>
    <xf numFmtId="49" fontId="37" fillId="0" borderId="36" xfId="0" applyNumberFormat="1" applyFont="1" applyBorder="1" applyAlignment="1">
      <alignment horizontal="center" vertical="center" wrapText="1"/>
    </xf>
    <xf numFmtId="49" fontId="56" fillId="0" borderId="36" xfId="0" applyNumberFormat="1" applyFont="1" applyBorder="1" applyAlignment="1">
      <alignment horizontal="center" vertical="center" wrapText="1"/>
    </xf>
    <xf numFmtId="0" fontId="53" fillId="0" borderId="36" xfId="0" applyFont="1" applyBorder="1" applyAlignment="1">
      <alignment horizontal="center" vertical="center" wrapText="1"/>
    </xf>
    <xf numFmtId="0" fontId="53" fillId="0" borderId="36" xfId="0" applyFont="1" applyBorder="1" applyAlignment="1">
      <alignment vertical="center" wrapText="1"/>
    </xf>
    <xf numFmtId="2" fontId="53" fillId="0" borderId="36" xfId="0" applyNumberFormat="1" applyFont="1" applyBorder="1" applyAlignment="1">
      <alignment horizontal="center" vertical="center" wrapText="1"/>
    </xf>
    <xf numFmtId="49" fontId="53" fillId="0" borderId="36" xfId="0" applyNumberFormat="1" applyFont="1" applyBorder="1" applyAlignment="1">
      <alignment horizontal="center" vertical="center" wrapText="1"/>
    </xf>
    <xf numFmtId="3" fontId="53" fillId="0" borderId="36" xfId="0" applyNumberFormat="1" applyFont="1" applyBorder="1" applyAlignment="1">
      <alignment vertical="center" wrapText="1"/>
    </xf>
    <xf numFmtId="2" fontId="57" fillId="0" borderId="36" xfId="0" applyNumberFormat="1" applyFont="1" applyBorder="1" applyAlignment="1">
      <alignment horizontal="center" vertical="center" wrapText="1"/>
    </xf>
    <xf numFmtId="3" fontId="57" fillId="0" borderId="36" xfId="0" applyNumberFormat="1" applyFont="1" applyBorder="1" applyAlignment="1">
      <alignment vertical="center" wrapText="1"/>
    </xf>
    <xf numFmtId="0" fontId="37" fillId="0" borderId="36" xfId="0" applyFont="1" applyBorder="1" applyAlignment="1">
      <alignment vertical="center" wrapText="1"/>
    </xf>
    <xf numFmtId="2" fontId="37" fillId="0" borderId="36" xfId="0" applyNumberFormat="1" applyFont="1" applyBorder="1" applyAlignment="1">
      <alignment horizontal="center" vertical="center" wrapText="1"/>
    </xf>
    <xf numFmtId="3" fontId="37" fillId="0" borderId="36" xfId="0" applyNumberFormat="1" applyFont="1" applyBorder="1" applyAlignment="1">
      <alignment vertical="center" wrapText="1"/>
    </xf>
    <xf numFmtId="0" fontId="56" fillId="0" borderId="36" xfId="0" applyFont="1" applyBorder="1" applyAlignment="1">
      <alignment horizontal="left" vertical="center" wrapText="1"/>
    </xf>
    <xf numFmtId="166" fontId="56" fillId="0" borderId="36" xfId="0" applyNumberFormat="1" applyFont="1" applyBorder="1" applyAlignment="1">
      <alignment vertical="center" wrapText="1"/>
    </xf>
    <xf numFmtId="0" fontId="69" fillId="0" borderId="36" xfId="0" applyFont="1" applyBorder="1" applyAlignment="1">
      <alignment horizontal="center" vertical="center" wrapText="1"/>
    </xf>
    <xf numFmtId="49" fontId="70" fillId="0" borderId="75" xfId="0" applyNumberFormat="1" applyFont="1" applyBorder="1" applyAlignment="1">
      <alignment horizontal="center" vertical="center" wrapText="1"/>
    </xf>
    <xf numFmtId="166" fontId="54" fillId="0" borderId="76" xfId="0" applyNumberFormat="1" applyFont="1" applyBorder="1" applyAlignment="1">
      <alignment horizontal="center" vertical="center" wrapText="1"/>
    </xf>
    <xf numFmtId="166" fontId="54" fillId="0" borderId="76" xfId="0" applyNumberFormat="1" applyFont="1" applyBorder="1" applyAlignment="1">
      <alignment vertical="center" wrapText="1"/>
    </xf>
    <xf numFmtId="3" fontId="54" fillId="0" borderId="76" xfId="0" applyNumberFormat="1" applyFont="1" applyBorder="1" applyAlignment="1">
      <alignment vertical="center" wrapText="1"/>
    </xf>
    <xf numFmtId="166" fontId="57" fillId="0" borderId="36" xfId="0" applyNumberFormat="1" applyFont="1" applyBorder="1" applyAlignment="1">
      <alignment vertical="center" wrapText="1"/>
    </xf>
    <xf numFmtId="0" fontId="35" fillId="31" borderId="36" xfId="0" applyFont="1" applyFill="1" applyBorder="1" applyAlignment="1">
      <alignment horizontal="center" vertical="center" wrapText="1"/>
    </xf>
    <xf numFmtId="0" fontId="35" fillId="31" borderId="36" xfId="0" applyFont="1" applyFill="1" applyBorder="1" applyAlignment="1">
      <alignment vertical="center" wrapText="1"/>
    </xf>
    <xf numFmtId="1" fontId="35" fillId="31" borderId="36" xfId="0" applyNumberFormat="1" applyFont="1" applyFill="1" applyBorder="1" applyAlignment="1">
      <alignment horizontal="center" vertical="center" wrapText="1"/>
    </xf>
    <xf numFmtId="1" fontId="35" fillId="31" borderId="36" xfId="262" applyNumberFormat="1" applyFont="1" applyFill="1" applyBorder="1" applyAlignment="1">
      <alignment horizontal="center" vertical="center" wrapText="1"/>
    </xf>
    <xf numFmtId="3" fontId="35" fillId="31" borderId="36" xfId="262" applyNumberFormat="1" applyFont="1" applyFill="1" applyBorder="1" applyAlignment="1">
      <alignment vertical="center" wrapText="1"/>
    </xf>
    <xf numFmtId="0" fontId="35" fillId="31" borderId="0" xfId="0" applyFont="1" applyFill="1" applyAlignment="1">
      <alignment vertical="center" wrapText="1"/>
    </xf>
    <xf numFmtId="166" fontId="54" fillId="31" borderId="36" xfId="0" applyNumberFormat="1" applyFont="1" applyFill="1" applyBorder="1" applyAlignment="1">
      <alignment horizontal="center" vertical="center" wrapText="1"/>
    </xf>
    <xf numFmtId="0" fontId="54" fillId="31" borderId="36" xfId="0" applyFont="1" applyFill="1" applyBorder="1" applyAlignment="1">
      <alignment horizontal="center" vertical="center" wrapText="1"/>
    </xf>
    <xf numFmtId="49" fontId="12" fillId="28" borderId="36" xfId="0" applyNumberFormat="1" applyFont="1" applyFill="1" applyBorder="1" applyAlignment="1">
      <alignment horizontal="center" vertical="center" wrapText="1"/>
    </xf>
    <xf numFmtId="49" fontId="30" fillId="27" borderId="36" xfId="0" applyNumberFormat="1" applyFont="1" applyFill="1" applyBorder="1" applyAlignment="1">
      <alignment horizontal="center" vertical="center" wrapText="1"/>
    </xf>
    <xf numFmtId="0" fontId="30" fillId="27" borderId="36" xfId="0" applyFont="1" applyFill="1" applyBorder="1" applyAlignment="1">
      <alignment vertical="center" wrapText="1"/>
    </xf>
    <xf numFmtId="0" fontId="30" fillId="27" borderId="36" xfId="0" applyFont="1" applyFill="1" applyBorder="1" applyAlignment="1">
      <alignment horizontal="center" vertical="center" wrapText="1"/>
    </xf>
    <xf numFmtId="0" fontId="30" fillId="27" borderId="36" xfId="0" applyFont="1" applyFill="1" applyBorder="1" applyAlignment="1">
      <alignment horizontal="left" vertical="center" wrapText="1"/>
    </xf>
    <xf numFmtId="49" fontId="30" fillId="0" borderId="36" xfId="0" applyNumberFormat="1" applyFont="1" applyBorder="1" applyAlignment="1">
      <alignment horizontal="center" vertical="center" wrapText="1"/>
    </xf>
    <xf numFmtId="49" fontId="82" fillId="28" borderId="36" xfId="0" applyNumberFormat="1" applyFont="1" applyFill="1" applyBorder="1" applyAlignment="1">
      <alignment horizontal="center" vertical="center" wrapText="1"/>
    </xf>
    <xf numFmtId="49" fontId="36" fillId="37" borderId="36" xfId="0" applyNumberFormat="1" applyFont="1" applyFill="1" applyBorder="1" applyAlignment="1">
      <alignment horizontal="center" vertical="center" wrapText="1"/>
    </xf>
    <xf numFmtId="0" fontId="36" fillId="37" borderId="36" xfId="0" applyFont="1" applyFill="1" applyBorder="1" applyAlignment="1">
      <alignment horizontal="center" vertical="center" wrapText="1"/>
    </xf>
    <xf numFmtId="49" fontId="54" fillId="31" borderId="36" xfId="0" applyNumberFormat="1" applyFont="1" applyFill="1" applyBorder="1" applyAlignment="1">
      <alignment horizontal="center" vertical="center" wrapText="1"/>
    </xf>
    <xf numFmtId="0" fontId="54" fillId="31" borderId="36" xfId="0" applyFont="1" applyFill="1" applyBorder="1" applyAlignment="1">
      <alignment vertical="center" wrapText="1"/>
    </xf>
    <xf numFmtId="0" fontId="54" fillId="31" borderId="36" xfId="0" applyFont="1" applyFill="1" applyBorder="1" applyAlignment="1">
      <alignment horizontal="justify" vertical="center" wrapText="1"/>
    </xf>
    <xf numFmtId="3" fontId="35" fillId="31" borderId="36" xfId="0" applyNumberFormat="1" applyFont="1" applyFill="1" applyBorder="1" applyAlignment="1">
      <alignment horizontal="right" vertical="center" wrapText="1"/>
    </xf>
    <xf numFmtId="0" fontId="54" fillId="33" borderId="21" xfId="0" applyFont="1" applyFill="1" applyBorder="1" applyAlignment="1">
      <alignment horizontal="center" vertical="center" wrapText="1"/>
    </xf>
    <xf numFmtId="0" fontId="54" fillId="33" borderId="56" xfId="0" applyFont="1" applyFill="1" applyBorder="1" applyAlignment="1">
      <alignment horizontal="center" vertical="center" wrapText="1"/>
    </xf>
    <xf numFmtId="0" fontId="54" fillId="33" borderId="31" xfId="0" applyFont="1" applyFill="1" applyBorder="1" applyAlignment="1">
      <alignment horizontal="center" vertical="center" wrapText="1"/>
    </xf>
    <xf numFmtId="0" fontId="35" fillId="33" borderId="21" xfId="0" applyFont="1" applyFill="1" applyBorder="1" applyAlignment="1">
      <alignment vertical="center" wrapText="1"/>
    </xf>
    <xf numFmtId="0" fontId="35" fillId="33" borderId="56" xfId="0" applyFont="1" applyFill="1" applyBorder="1" applyAlignment="1">
      <alignment vertical="center" wrapText="1"/>
    </xf>
    <xf numFmtId="0" fontId="35" fillId="33" borderId="31" xfId="0" applyFont="1" applyFill="1" applyBorder="1" applyAlignment="1">
      <alignment vertical="center" wrapText="1"/>
    </xf>
    <xf numFmtId="0" fontId="36" fillId="27" borderId="31" xfId="0" applyFont="1" applyFill="1" applyBorder="1" applyAlignment="1">
      <alignment horizontal="left" vertical="center" wrapText="1"/>
    </xf>
    <xf numFmtId="0" fontId="36" fillId="37" borderId="36" xfId="0" applyFont="1" applyFill="1" applyBorder="1" applyAlignment="1">
      <alignment horizontal="centerContinuous" vertical="center" wrapText="1"/>
    </xf>
    <xf numFmtId="3" fontId="73" fillId="31" borderId="36" xfId="0" applyNumberFormat="1" applyFont="1" applyFill="1" applyBorder="1" applyAlignment="1">
      <alignment horizontal="right" vertical="center" wrapText="1"/>
    </xf>
    <xf numFmtId="3" fontId="73" fillId="39" borderId="36" xfId="0" applyNumberFormat="1" applyFont="1" applyFill="1" applyBorder="1" applyAlignment="1">
      <alignment horizontal="right" vertical="center" wrapText="1"/>
    </xf>
    <xf numFmtId="3" fontId="73" fillId="28" borderId="36" xfId="0" applyNumberFormat="1" applyFont="1" applyFill="1" applyBorder="1" applyAlignment="1">
      <alignment horizontal="right" vertical="center" wrapText="1"/>
    </xf>
    <xf numFmtId="3" fontId="56" fillId="31" borderId="36" xfId="0" applyNumberFormat="1" applyFont="1" applyFill="1" applyBorder="1" applyAlignment="1">
      <alignment horizontal="right" vertical="center" wrapText="1"/>
    </xf>
    <xf numFmtId="3" fontId="54" fillId="31" borderId="36" xfId="0" applyNumberFormat="1" applyFont="1" applyFill="1" applyBorder="1" applyAlignment="1">
      <alignment horizontal="right" vertical="center" wrapText="1"/>
    </xf>
    <xf numFmtId="3" fontId="35" fillId="40" borderId="36" xfId="0" applyNumberFormat="1" applyFont="1" applyFill="1" applyBorder="1" applyAlignment="1">
      <alignment horizontal="right" vertical="center" wrapText="1"/>
    </xf>
    <xf numFmtId="3" fontId="36" fillId="31" borderId="36" xfId="0" applyNumberFormat="1" applyFont="1" applyFill="1" applyBorder="1" applyAlignment="1">
      <alignment horizontal="right" vertical="center" wrapText="1"/>
    </xf>
    <xf numFmtId="3" fontId="35" fillId="39" borderId="36" xfId="0" applyNumberFormat="1" applyFont="1" applyFill="1" applyBorder="1" applyAlignment="1">
      <alignment horizontal="right" vertical="center" wrapText="1"/>
    </xf>
    <xf numFmtId="3" fontId="35" fillId="28" borderId="36" xfId="0" applyNumberFormat="1" applyFont="1" applyFill="1" applyBorder="1" applyAlignment="1">
      <alignment horizontal="right" vertical="center" wrapText="1"/>
    </xf>
    <xf numFmtId="3" fontId="35" fillId="41" borderId="36" xfId="0" applyNumberFormat="1" applyFont="1" applyFill="1" applyBorder="1" applyAlignment="1">
      <alignment horizontal="right" vertical="center" wrapText="1"/>
    </xf>
    <xf numFmtId="3" fontId="73" fillId="40" borderId="36" xfId="0" applyNumberFormat="1" applyFont="1" applyFill="1" applyBorder="1" applyAlignment="1">
      <alignment horizontal="right" vertical="center" wrapText="1"/>
    </xf>
    <xf numFmtId="3" fontId="70" fillId="31" borderId="36" xfId="0" applyNumberFormat="1" applyFont="1" applyFill="1" applyBorder="1" applyAlignment="1">
      <alignment horizontal="right" vertical="center" wrapText="1"/>
    </xf>
    <xf numFmtId="3" fontId="35" fillId="38" borderId="36" xfId="0" applyNumberFormat="1" applyFont="1" applyFill="1" applyBorder="1" applyAlignment="1">
      <alignment horizontal="right" vertical="center" wrapText="1"/>
    </xf>
    <xf numFmtId="3" fontId="37" fillId="31" borderId="36" xfId="0" applyNumberFormat="1" applyFont="1" applyFill="1" applyBorder="1" applyAlignment="1">
      <alignment horizontal="right" vertical="center" wrapText="1"/>
    </xf>
    <xf numFmtId="0" fontId="83" fillId="31" borderId="36" xfId="0" applyFont="1" applyFill="1" applyBorder="1" applyAlignment="1">
      <alignment horizontal="center" vertical="center" wrapText="1"/>
    </xf>
    <xf numFmtId="165" fontId="30" fillId="24" borderId="36" xfId="261" applyNumberFormat="1" applyFont="1" applyFill="1" applyBorder="1" applyAlignment="1">
      <alignment horizontal="center" vertical="center" wrapText="1"/>
    </xf>
    <xf numFmtId="0" fontId="50" fillId="24" borderId="36" xfId="0" applyFont="1" applyFill="1" applyBorder="1" applyAlignment="1">
      <alignment horizontal="center" vertical="center" wrapText="1"/>
    </xf>
    <xf numFmtId="0" fontId="28" fillId="0" borderId="36" xfId="409" applyFont="1" applyBorder="1" applyAlignment="1">
      <alignment horizontal="justify" vertical="center" wrapText="1"/>
    </xf>
    <xf numFmtId="164" fontId="28" fillId="0" borderId="36" xfId="261" applyNumberFormat="1" applyFont="1" applyBorder="1" applyAlignment="1">
      <alignment horizontal="right" vertical="center"/>
    </xf>
    <xf numFmtId="0" fontId="32" fillId="25" borderId="36" xfId="0" applyFont="1" applyFill="1" applyBorder="1" applyAlignment="1">
      <alignment horizontal="center" vertical="center" wrapText="1"/>
    </xf>
    <xf numFmtId="0" fontId="34" fillId="25" borderId="36" xfId="0" applyFont="1" applyFill="1" applyBorder="1" applyAlignment="1">
      <alignment horizontal="left" vertical="center" wrapText="1"/>
    </xf>
    <xf numFmtId="0" fontId="32" fillId="25" borderId="36" xfId="0" applyFont="1" applyFill="1" applyBorder="1" applyAlignment="1">
      <alignment horizontal="justify" vertical="center" wrapText="1"/>
    </xf>
    <xf numFmtId="174" fontId="32" fillId="25" borderId="36" xfId="261" applyNumberFormat="1" applyFont="1" applyFill="1" applyBorder="1" applyAlignment="1">
      <alignment horizontal="justify" vertical="center" wrapText="1"/>
    </xf>
    <xf numFmtId="0" fontId="76" fillId="0" borderId="36" xfId="0" applyFont="1" applyBorder="1" applyAlignment="1">
      <alignment horizontal="center" vertical="center" wrapText="1"/>
    </xf>
    <xf numFmtId="0" fontId="76" fillId="0" borderId="36" xfId="0" applyFont="1" applyBorder="1" applyAlignment="1">
      <alignment horizontal="justify" vertical="center" wrapText="1"/>
    </xf>
    <xf numFmtId="3" fontId="76" fillId="0" borderId="36" xfId="0" applyNumberFormat="1" applyFont="1" applyBorder="1" applyAlignment="1">
      <alignment vertical="center" wrapText="1"/>
    </xf>
    <xf numFmtId="165" fontId="76" fillId="0" borderId="36" xfId="261" applyNumberFormat="1" applyFont="1" applyBorder="1" applyAlignment="1">
      <alignment horizontal="right" vertical="center" wrapText="1"/>
    </xf>
    <xf numFmtId="174" fontId="76" fillId="0" borderId="36" xfId="261" applyNumberFormat="1" applyFont="1" applyBorder="1" applyAlignment="1">
      <alignment horizontal="right" vertical="center" wrapText="1"/>
    </xf>
    <xf numFmtId="3" fontId="76" fillId="0" borderId="36" xfId="0" applyNumberFormat="1" applyFont="1" applyBorder="1" applyAlignment="1">
      <alignment horizontal="right" vertical="center" wrapText="1"/>
    </xf>
    <xf numFmtId="0" fontId="77" fillId="0" borderId="36" xfId="0" applyFont="1" applyBorder="1" applyAlignment="1">
      <alignment horizontal="center" vertical="center" wrapText="1"/>
    </xf>
    <xf numFmtId="0" fontId="77" fillId="0" borderId="36" xfId="0" applyFont="1" applyBorder="1" applyAlignment="1">
      <alignment horizontal="justify" vertical="center" wrapText="1"/>
    </xf>
    <xf numFmtId="3" fontId="77" fillId="0" borderId="36" xfId="0" applyNumberFormat="1" applyFont="1" applyBorder="1" applyAlignment="1">
      <alignment vertical="center" wrapText="1"/>
    </xf>
    <xf numFmtId="165" fontId="77" fillId="0" borderId="36" xfId="261" applyNumberFormat="1" applyFont="1" applyBorder="1" applyAlignment="1">
      <alignment horizontal="right" vertical="center" wrapText="1"/>
    </xf>
    <xf numFmtId="174" fontId="77" fillId="0" borderId="36" xfId="261" applyNumberFormat="1" applyFont="1" applyBorder="1" applyAlignment="1">
      <alignment horizontal="right" vertical="center" wrapText="1"/>
    </xf>
    <xf numFmtId="4" fontId="77" fillId="0" borderId="36" xfId="0" applyNumberFormat="1" applyFont="1" applyBorder="1" applyAlignment="1">
      <alignment horizontal="right" vertical="center" wrapText="1"/>
    </xf>
    <xf numFmtId="9" fontId="76" fillId="0" borderId="36" xfId="0" applyNumberFormat="1" applyFont="1" applyBorder="1" applyAlignment="1">
      <alignment horizontal="center" vertical="center" wrapText="1"/>
    </xf>
    <xf numFmtId="4" fontId="76" fillId="0" borderId="36" xfId="0" applyNumberFormat="1" applyFont="1" applyBorder="1" applyAlignment="1">
      <alignment horizontal="right" vertical="center" wrapText="1"/>
    </xf>
    <xf numFmtId="0" fontId="34" fillId="0" borderId="36" xfId="0" applyFont="1" applyBorder="1" applyAlignment="1">
      <alignment horizontal="center" vertical="center" wrapText="1"/>
    </xf>
    <xf numFmtId="0" fontId="34" fillId="0" borderId="36" xfId="0" applyFont="1" applyBorder="1" applyAlignment="1">
      <alignment horizontal="justify" vertical="center" wrapText="1"/>
    </xf>
    <xf numFmtId="9" fontId="34" fillId="0" borderId="36" xfId="0" applyNumberFormat="1" applyFont="1" applyBorder="1" applyAlignment="1">
      <alignment horizontal="center" vertical="center" wrapText="1"/>
    </xf>
    <xf numFmtId="3" fontId="34" fillId="0" borderId="36" xfId="0" applyNumberFormat="1" applyFont="1" applyBorder="1" applyAlignment="1">
      <alignment vertical="center" wrapText="1"/>
    </xf>
    <xf numFmtId="165" fontId="34" fillId="0" borderId="36" xfId="261" applyNumberFormat="1" applyFont="1" applyBorder="1" applyAlignment="1">
      <alignment horizontal="right" vertical="center" wrapText="1"/>
    </xf>
    <xf numFmtId="174" fontId="34" fillId="0" borderId="36" xfId="261" applyNumberFormat="1" applyFont="1" applyBorder="1" applyAlignment="1">
      <alignment horizontal="right" vertical="center" wrapText="1"/>
    </xf>
    <xf numFmtId="4" fontId="34" fillId="0" borderId="36" xfId="0" applyNumberFormat="1" applyFont="1" applyBorder="1" applyAlignment="1">
      <alignment horizontal="right" vertical="center" wrapText="1"/>
    </xf>
    <xf numFmtId="3" fontId="28" fillId="0" borderId="36" xfId="0" applyNumberFormat="1" applyFont="1" applyBorder="1" applyAlignment="1">
      <alignment vertical="center" wrapText="1"/>
    </xf>
    <xf numFmtId="165" fontId="28" fillId="0" borderId="36" xfId="261" applyNumberFormat="1" applyFont="1" applyBorder="1" applyAlignment="1">
      <alignment horizontal="right" vertical="center" wrapText="1"/>
    </xf>
    <xf numFmtId="174" fontId="28" fillId="0" borderId="36" xfId="261" applyNumberFormat="1" applyFont="1" applyBorder="1" applyAlignment="1">
      <alignment horizontal="right" vertical="center" wrapText="1"/>
    </xf>
    <xf numFmtId="3" fontId="28" fillId="0" borderId="36" xfId="0" applyNumberFormat="1" applyFont="1" applyBorder="1" applyAlignment="1">
      <alignment horizontal="right" vertical="center" wrapText="1"/>
    </xf>
    <xf numFmtId="0" fontId="67" fillId="0" borderId="36" xfId="0" applyFont="1" applyBorder="1" applyAlignment="1">
      <alignment horizontal="center" vertical="center" wrapText="1"/>
    </xf>
    <xf numFmtId="174" fontId="67" fillId="0" borderId="36" xfId="261" applyNumberFormat="1" applyFont="1" applyBorder="1" applyAlignment="1">
      <alignment horizontal="right" vertical="center" wrapText="1"/>
    </xf>
    <xf numFmtId="0" fontId="34" fillId="25" borderId="36" xfId="0" applyFont="1" applyFill="1" applyBorder="1" applyAlignment="1">
      <alignment horizontal="center" vertical="center" wrapText="1"/>
    </xf>
    <xf numFmtId="3" fontId="34" fillId="0" borderId="36" xfId="0" applyNumberFormat="1" applyFont="1" applyBorder="1" applyAlignment="1">
      <alignment horizontal="right" vertical="center" wrapText="1"/>
    </xf>
    <xf numFmtId="176" fontId="28" fillId="0" borderId="36" xfId="261" applyNumberFormat="1" applyFont="1" applyBorder="1" applyAlignment="1">
      <alignment horizontal="right" vertical="center" wrapText="1"/>
    </xf>
    <xf numFmtId="3" fontId="30" fillId="0" borderId="36" xfId="0" applyNumberFormat="1" applyFont="1" applyBorder="1" applyAlignment="1">
      <alignment vertical="center" wrapText="1"/>
    </xf>
    <xf numFmtId="165" fontId="30" fillId="0" borderId="36" xfId="261" applyNumberFormat="1" applyFont="1" applyBorder="1" applyAlignment="1">
      <alignment horizontal="right" vertical="center" wrapText="1"/>
    </xf>
    <xf numFmtId="174" fontId="30" fillId="0" borderId="36" xfId="261" applyNumberFormat="1" applyFont="1" applyBorder="1" applyAlignment="1">
      <alignment horizontal="right" vertical="center" wrapText="1"/>
    </xf>
    <xf numFmtId="3" fontId="30" fillId="0" borderId="36" xfId="0" applyNumberFormat="1" applyFont="1" applyBorder="1" applyAlignment="1">
      <alignment horizontal="right" vertical="center" wrapText="1"/>
    </xf>
    <xf numFmtId="174" fontId="49" fillId="0" borderId="36" xfId="261" applyNumberFormat="1" applyFont="1" applyBorder="1" applyAlignment="1">
      <alignment horizontal="right" vertical="center" wrapText="1"/>
    </xf>
    <xf numFmtId="0" fontId="41" fillId="25" borderId="36" xfId="0" applyFont="1" applyFill="1" applyBorder="1" applyAlignment="1">
      <alignment horizontal="justify" vertical="center" wrapText="1"/>
    </xf>
    <xf numFmtId="174" fontId="51" fillId="0" borderId="36" xfId="261" applyNumberFormat="1" applyFont="1" applyBorder="1" applyAlignment="1">
      <alignment horizontal="right" vertical="center" wrapText="1"/>
    </xf>
    <xf numFmtId="0" fontId="31" fillId="0" borderId="36" xfId="0" applyFont="1" applyBorder="1" applyAlignment="1">
      <alignment horizontal="justify" vertical="center" wrapText="1"/>
    </xf>
    <xf numFmtId="0" fontId="31" fillId="0" borderId="36" xfId="0" applyFont="1" applyBorder="1" applyAlignment="1">
      <alignment horizontal="center" vertical="center" wrapText="1"/>
    </xf>
    <xf numFmtId="3" fontId="31" fillId="0" borderId="36" xfId="0" applyNumberFormat="1" applyFont="1" applyBorder="1" applyAlignment="1">
      <alignment vertical="center" wrapText="1"/>
    </xf>
    <xf numFmtId="165" fontId="31" fillId="0" borderId="36" xfId="261" applyNumberFormat="1" applyFont="1" applyBorder="1" applyAlignment="1">
      <alignment horizontal="right" vertical="center" wrapText="1"/>
    </xf>
    <xf numFmtId="0" fontId="80" fillId="0" borderId="36" xfId="0" applyFont="1" applyBorder="1" applyAlignment="1">
      <alignment horizontal="center" vertical="center" wrapText="1"/>
    </xf>
    <xf numFmtId="0" fontId="80" fillId="0" borderId="36" xfId="0" applyFont="1" applyBorder="1" applyAlignment="1">
      <alignment horizontal="justify" vertical="center" wrapText="1"/>
    </xf>
    <xf numFmtId="49" fontId="32" fillId="25" borderId="36" xfId="0" applyNumberFormat="1" applyFont="1" applyFill="1" applyBorder="1" applyAlignment="1">
      <alignment horizontal="center" vertical="center" wrapText="1"/>
    </xf>
    <xf numFmtId="0" fontId="73" fillId="0" borderId="21" xfId="0" applyFont="1" applyBorder="1" applyAlignment="1">
      <alignment horizontal="center" vertical="center" wrapText="1"/>
    </xf>
    <xf numFmtId="0" fontId="36" fillId="37" borderId="36" xfId="0" applyFont="1" applyFill="1" applyBorder="1" applyAlignment="1">
      <alignment horizontal="left" vertical="center" wrapText="1"/>
    </xf>
    <xf numFmtId="172" fontId="28" fillId="0" borderId="31" xfId="0" applyNumberFormat="1" applyFont="1" applyBorder="1" applyAlignment="1">
      <alignment vertical="center"/>
    </xf>
    <xf numFmtId="3" fontId="28" fillId="0" borderId="31" xfId="0" applyNumberFormat="1" applyFont="1" applyBorder="1" applyAlignment="1">
      <alignment vertical="center"/>
    </xf>
    <xf numFmtId="0" fontId="28" fillId="0" borderId="45" xfId="0" applyFont="1" applyBorder="1" applyAlignment="1">
      <alignment vertical="center"/>
    </xf>
    <xf numFmtId="0" fontId="28" fillId="0" borderId="45" xfId="0" applyFont="1" applyBorder="1" applyAlignment="1">
      <alignment horizontal="center" vertical="center"/>
    </xf>
    <xf numFmtId="165" fontId="28" fillId="0" borderId="45" xfId="261" applyNumberFormat="1" applyFont="1" applyBorder="1" applyAlignment="1">
      <alignment vertical="center"/>
    </xf>
    <xf numFmtId="172" fontId="49" fillId="0" borderId="45" xfId="0" applyNumberFormat="1" applyFont="1" applyBorder="1" applyAlignment="1">
      <alignment vertical="center"/>
    </xf>
    <xf numFmtId="3" fontId="34" fillId="29" borderId="36" xfId="0" applyNumberFormat="1" applyFont="1" applyFill="1" applyBorder="1" applyAlignment="1">
      <alignment horizontal="center" vertical="center"/>
    </xf>
    <xf numFmtId="173" fontId="49" fillId="0" borderId="45" xfId="0" applyNumberFormat="1" applyFont="1" applyBorder="1" applyAlignment="1">
      <alignment vertical="center"/>
    </xf>
    <xf numFmtId="0" fontId="28" fillId="0" borderId="49" xfId="0" applyFont="1" applyBorder="1" applyAlignment="1">
      <alignment horizontal="center" vertical="center"/>
    </xf>
    <xf numFmtId="0" fontId="28" fillId="0" borderId="31" xfId="0" applyFont="1" applyBorder="1" applyAlignment="1">
      <alignment vertical="center"/>
    </xf>
    <xf numFmtId="0" fontId="28" fillId="0" borderId="31" xfId="0" applyFont="1" applyBorder="1" applyAlignment="1">
      <alignment horizontal="center" vertical="center"/>
    </xf>
    <xf numFmtId="165" fontId="28" fillId="0" borderId="31" xfId="261" applyNumberFormat="1" applyFont="1" applyBorder="1" applyAlignment="1">
      <alignment vertical="center"/>
    </xf>
    <xf numFmtId="172" fontId="49" fillId="0" borderId="31" xfId="0" applyNumberFormat="1" applyFont="1" applyBorder="1" applyAlignment="1">
      <alignment vertical="center"/>
    </xf>
    <xf numFmtId="3" fontId="28" fillId="0" borderId="51" xfId="0" applyNumberFormat="1" applyFont="1" applyBorder="1" applyAlignment="1">
      <alignment vertical="center"/>
    </xf>
    <xf numFmtId="0" fontId="36" fillId="42" borderId="36" xfId="0" applyFont="1" applyFill="1" applyBorder="1" applyAlignment="1">
      <alignment horizontal="center" vertical="center"/>
    </xf>
    <xf numFmtId="49" fontId="36" fillId="42" borderId="36" xfId="0" applyNumberFormat="1" applyFont="1" applyFill="1" applyBorder="1" applyAlignment="1">
      <alignment horizontal="center" vertical="center"/>
    </xf>
    <xf numFmtId="3" fontId="36" fillId="42" borderId="36" xfId="0" applyNumberFormat="1" applyFont="1" applyFill="1" applyBorder="1" applyAlignment="1">
      <alignment horizontal="center" vertical="center"/>
    </xf>
    <xf numFmtId="4" fontId="36" fillId="42" borderId="36" xfId="0" applyNumberFormat="1" applyFont="1" applyFill="1" applyBorder="1" applyAlignment="1">
      <alignment horizontal="center" vertical="center"/>
    </xf>
    <xf numFmtId="0" fontId="36" fillId="33" borderId="36" xfId="0" applyFont="1" applyFill="1" applyBorder="1" applyAlignment="1">
      <alignment horizontal="center" vertical="center" wrapText="1"/>
    </xf>
    <xf numFmtId="0" fontId="36" fillId="33" borderId="36" xfId="0" applyFont="1" applyFill="1" applyBorder="1" applyAlignment="1">
      <alignment horizontal="left" vertical="center" wrapText="1"/>
    </xf>
    <xf numFmtId="3" fontId="36" fillId="33" borderId="36" xfId="0" applyNumberFormat="1" applyFont="1" applyFill="1" applyBorder="1" applyAlignment="1">
      <alignment horizontal="center" vertical="center" wrapText="1"/>
    </xf>
    <xf numFmtId="3" fontId="84" fillId="0" borderId="36" xfId="0" applyNumberFormat="1" applyFont="1" applyBorder="1" applyAlignment="1">
      <alignment horizontal="right" vertical="center" wrapText="1"/>
    </xf>
    <xf numFmtId="0" fontId="35" fillId="35" borderId="36" xfId="0" applyFont="1" applyFill="1" applyBorder="1" applyAlignment="1">
      <alignment horizontal="center" vertical="center" wrapText="1"/>
    </xf>
    <xf numFmtId="0" fontId="35" fillId="35" borderId="36" xfId="0" applyFont="1" applyFill="1" applyBorder="1" applyAlignment="1">
      <alignment horizontal="left" vertical="center" wrapText="1"/>
    </xf>
    <xf numFmtId="3" fontId="71" fillId="33" borderId="0" xfId="0" applyNumberFormat="1" applyFont="1" applyFill="1" applyAlignment="1">
      <alignment horizontal="center" vertical="center"/>
    </xf>
    <xf numFmtId="0" fontId="28" fillId="0" borderId="36" xfId="409" applyFont="1" applyBorder="1" applyAlignment="1">
      <alignment horizontal="center" vertical="center" wrapText="1"/>
    </xf>
    <xf numFmtId="0" fontId="28" fillId="0" borderId="36" xfId="410" applyFont="1" applyBorder="1" applyAlignment="1">
      <alignment horizontal="center"/>
    </xf>
    <xf numFmtId="0" fontId="28" fillId="0" borderId="58" xfId="0" applyFont="1" applyBorder="1" applyAlignment="1">
      <alignment horizontal="center" vertical="center"/>
    </xf>
    <xf numFmtId="0" fontId="28" fillId="0" borderId="93" xfId="0" applyFont="1" applyBorder="1" applyAlignment="1">
      <alignment horizontal="center" vertical="center"/>
    </xf>
    <xf numFmtId="178" fontId="28" fillId="0" borderId="36" xfId="0" applyNumberFormat="1" applyFont="1" applyBorder="1" applyAlignment="1">
      <alignment horizontal="right" vertical="center" wrapText="1"/>
    </xf>
    <xf numFmtId="0" fontId="28" fillId="0" borderId="93" xfId="0" applyFont="1" applyBorder="1" applyAlignment="1">
      <alignment vertical="center"/>
    </xf>
    <xf numFmtId="3" fontId="54" fillId="33" borderId="36" xfId="0" applyNumberFormat="1" applyFont="1" applyFill="1" applyBorder="1" applyAlignment="1">
      <alignment horizontal="right" vertical="center" wrapText="1"/>
    </xf>
    <xf numFmtId="3" fontId="54" fillId="0" borderId="36" xfId="0" applyNumberFormat="1" applyFont="1" applyBorder="1" applyAlignment="1">
      <alignment horizontal="right" vertical="center" wrapText="1"/>
    </xf>
    <xf numFmtId="3" fontId="54" fillId="33" borderId="0" xfId="0" applyNumberFormat="1" applyFont="1" applyFill="1" applyAlignment="1">
      <alignment horizontal="right" vertical="center" wrapText="1"/>
    </xf>
    <xf numFmtId="3" fontId="54" fillId="0" borderId="21" xfId="0" applyNumberFormat="1" applyFont="1" applyBorder="1" applyAlignment="1">
      <alignment horizontal="right" vertical="center" wrapText="1"/>
    </xf>
    <xf numFmtId="3" fontId="54" fillId="0" borderId="0" xfId="0" applyNumberFormat="1" applyFont="1" applyAlignment="1">
      <alignment horizontal="right" vertical="center" wrapText="1"/>
    </xf>
    <xf numFmtId="172" fontId="54" fillId="0" borderId="36" xfId="0" applyNumberFormat="1" applyFont="1" applyBorder="1" applyAlignment="1">
      <alignment horizontal="center" vertical="center" wrapText="1"/>
    </xf>
    <xf numFmtId="0" fontId="36" fillId="37" borderId="62" xfId="0" applyFont="1" applyFill="1" applyBorder="1" applyAlignment="1">
      <alignment horizontal="center" vertical="center" wrapText="1"/>
    </xf>
    <xf numFmtId="0" fontId="36" fillId="0" borderId="62" xfId="0" applyFont="1" applyBorder="1" applyAlignment="1">
      <alignment horizontal="center" vertical="center" wrapText="1"/>
    </xf>
    <xf numFmtId="0" fontId="35" fillId="33" borderId="62" xfId="0" applyFont="1" applyFill="1" applyBorder="1" applyAlignment="1">
      <alignment horizontal="center" vertical="center" wrapText="1"/>
    </xf>
    <xf numFmtId="0" fontId="35" fillId="0" borderId="62" xfId="0" applyFont="1" applyBorder="1" applyAlignment="1">
      <alignment horizontal="center" vertical="center" wrapText="1"/>
    </xf>
    <xf numFmtId="0" fontId="30" fillId="33" borderId="62" xfId="0" applyFont="1" applyFill="1" applyBorder="1" applyAlignment="1">
      <alignment horizontal="center" vertical="center" wrapText="1"/>
    </xf>
    <xf numFmtId="0" fontId="73" fillId="33" borderId="62" xfId="0" applyFont="1" applyFill="1" applyBorder="1" applyAlignment="1">
      <alignment horizontal="center" vertical="center" wrapText="1"/>
    </xf>
    <xf numFmtId="172" fontId="84" fillId="33" borderId="36" xfId="0" applyNumberFormat="1" applyFont="1" applyFill="1" applyBorder="1" applyAlignment="1">
      <alignment horizontal="center" vertical="center"/>
    </xf>
    <xf numFmtId="172" fontId="84" fillId="33" borderId="36" xfId="0" applyNumberFormat="1" applyFont="1" applyFill="1" applyBorder="1" applyAlignment="1">
      <alignment horizontal="center" vertical="center" wrapText="1"/>
    </xf>
    <xf numFmtId="3" fontId="84" fillId="33" borderId="36" xfId="0" applyNumberFormat="1" applyFont="1" applyFill="1" applyBorder="1" applyAlignment="1">
      <alignment horizontal="right" vertical="center" wrapText="1"/>
    </xf>
    <xf numFmtId="173" fontId="36" fillId="33" borderId="36" xfId="0" applyNumberFormat="1" applyFont="1" applyFill="1" applyBorder="1" applyAlignment="1">
      <alignment horizontal="right" vertical="center" wrapText="1"/>
    </xf>
    <xf numFmtId="0" fontId="36" fillId="0" borderId="36" xfId="0" applyFont="1" applyBorder="1" applyAlignment="1">
      <alignment horizontal="left"/>
    </xf>
    <xf numFmtId="49" fontId="36" fillId="0" borderId="36" xfId="0" applyNumberFormat="1" applyFont="1" applyBorder="1" applyAlignment="1">
      <alignment horizontal="center"/>
    </xf>
    <xf numFmtId="0" fontId="36" fillId="0" borderId="36" xfId="0" applyFont="1" applyBorder="1" applyAlignment="1">
      <alignment horizontal="center" vertical="distributed"/>
    </xf>
    <xf numFmtId="3" fontId="36" fillId="0" borderId="36" xfId="0" applyNumberFormat="1" applyFont="1" applyBorder="1" applyAlignment="1">
      <alignment horizontal="center"/>
    </xf>
    <xf numFmtId="0" fontId="36" fillId="0" borderId="36" xfId="0" applyFont="1" applyBorder="1" applyAlignment="1">
      <alignment horizontal="center"/>
    </xf>
    <xf numFmtId="0" fontId="84" fillId="33" borderId="36" xfId="0" applyFont="1" applyFill="1" applyBorder="1" applyAlignment="1">
      <alignment horizontal="center"/>
    </xf>
    <xf numFmtId="3" fontId="54" fillId="0" borderId="0" xfId="0" applyNumberFormat="1" applyFont="1" applyAlignment="1">
      <alignment horizontal="right" vertical="center"/>
    </xf>
    <xf numFmtId="0" fontId="54" fillId="0" borderId="36" xfId="0" applyFont="1" applyBorder="1" applyAlignment="1">
      <alignment horizontal="right" vertical="center"/>
    </xf>
    <xf numFmtId="172" fontId="54" fillId="0" borderId="36" xfId="0" applyNumberFormat="1" applyFont="1" applyBorder="1" applyAlignment="1">
      <alignment horizontal="right" vertical="center" wrapText="1"/>
    </xf>
    <xf numFmtId="3" fontId="54" fillId="0" borderId="0" xfId="0" applyNumberFormat="1" applyFont="1" applyAlignment="1">
      <alignment horizontal="right"/>
    </xf>
    <xf numFmtId="3" fontId="54" fillId="0" borderId="36" xfId="0" applyNumberFormat="1" applyFont="1" applyBorder="1" applyAlignment="1">
      <alignment horizontal="right"/>
    </xf>
    <xf numFmtId="0" fontId="54" fillId="0" borderId="0" xfId="0" applyFont="1" applyAlignment="1">
      <alignment horizontal="right" vertical="center" wrapText="1"/>
    </xf>
    <xf numFmtId="0" fontId="54" fillId="37" borderId="36" xfId="0" applyFont="1" applyFill="1" applyBorder="1" applyAlignment="1">
      <alignment horizontal="right" vertical="center" wrapText="1"/>
    </xf>
    <xf numFmtId="0" fontId="54" fillId="0" borderId="0" xfId="0" applyFont="1" applyAlignment="1">
      <alignment horizontal="right"/>
    </xf>
    <xf numFmtId="172" fontId="84" fillId="0" borderId="36" xfId="0" applyNumberFormat="1" applyFont="1" applyBorder="1" applyAlignment="1">
      <alignment horizontal="center" vertical="center"/>
    </xf>
    <xf numFmtId="172" fontId="84" fillId="0" borderId="36" xfId="0" applyNumberFormat="1" applyFont="1" applyBorder="1" applyAlignment="1">
      <alignment horizontal="center" vertical="center" wrapText="1"/>
    </xf>
    <xf numFmtId="3" fontId="71" fillId="0" borderId="36" xfId="0" applyNumberFormat="1" applyFont="1" applyBorder="1" applyAlignment="1">
      <alignment horizontal="right" vertical="center" wrapText="1"/>
    </xf>
    <xf numFmtId="3" fontId="72" fillId="0" borderId="36" xfId="0" applyNumberFormat="1" applyFont="1" applyBorder="1" applyAlignment="1">
      <alignment horizontal="right" vertical="center" wrapText="1"/>
    </xf>
    <xf numFmtId="0" fontId="44" fillId="0" borderId="36" xfId="0" applyFont="1" applyBorder="1" applyAlignment="1">
      <alignment horizontal="center"/>
    </xf>
    <xf numFmtId="0" fontId="84" fillId="0" borderId="36" xfId="0" applyFont="1" applyBorder="1" applyAlignment="1">
      <alignment horizontal="center"/>
    </xf>
    <xf numFmtId="0" fontId="36" fillId="27" borderId="31" xfId="0" applyFont="1" applyFill="1" applyBorder="1" applyAlignment="1">
      <alignment horizontal="center" vertical="center" wrapText="1"/>
    </xf>
    <xf numFmtId="173" fontId="36" fillId="27" borderId="31" xfId="0" applyNumberFormat="1" applyFont="1" applyFill="1" applyBorder="1" applyAlignment="1">
      <alignment horizontal="right" vertical="center" wrapText="1"/>
    </xf>
    <xf numFmtId="3" fontId="54" fillId="27" borderId="31" xfId="0" applyNumberFormat="1" applyFont="1" applyFill="1" applyBorder="1" applyAlignment="1">
      <alignment horizontal="right" vertical="center" wrapText="1"/>
    </xf>
    <xf numFmtId="3" fontId="36" fillId="27" borderId="31" xfId="0" applyNumberFormat="1" applyFont="1" applyFill="1" applyBorder="1" applyAlignment="1">
      <alignment horizontal="right" vertical="center" wrapText="1"/>
    </xf>
    <xf numFmtId="3" fontId="84" fillId="0" borderId="36" xfId="0" applyNumberFormat="1" applyFont="1" applyBorder="1" applyAlignment="1">
      <alignment horizontal="center" vertical="center" wrapText="1"/>
    </xf>
    <xf numFmtId="3" fontId="84" fillId="42" borderId="36" xfId="0" applyNumberFormat="1" applyFont="1" applyFill="1" applyBorder="1" applyAlignment="1">
      <alignment horizontal="center" vertical="center" wrapText="1"/>
    </xf>
    <xf numFmtId="3" fontId="84" fillId="33" borderId="36" xfId="0" applyNumberFormat="1" applyFont="1" applyFill="1" applyBorder="1" applyAlignment="1">
      <alignment horizontal="center" vertical="center"/>
    </xf>
    <xf numFmtId="0" fontId="47" fillId="0" borderId="36" xfId="0" applyFont="1" applyBorder="1" applyAlignment="1">
      <alignment horizontal="center" vertical="center" wrapText="1"/>
    </xf>
    <xf numFmtId="4" fontId="36" fillId="42" borderId="36" xfId="0" applyNumberFormat="1" applyFont="1" applyFill="1" applyBorder="1" applyAlignment="1">
      <alignment horizontal="center" vertical="center" wrapText="1"/>
    </xf>
    <xf numFmtId="172" fontId="84" fillId="42" borderId="36" xfId="0" applyNumberFormat="1" applyFont="1" applyFill="1" applyBorder="1" applyAlignment="1">
      <alignment horizontal="center" vertical="center"/>
    </xf>
    <xf numFmtId="172" fontId="84" fillId="42" borderId="36" xfId="0" applyNumberFormat="1" applyFont="1" applyFill="1" applyBorder="1" applyAlignment="1">
      <alignment horizontal="center" vertical="center" wrapText="1"/>
    </xf>
    <xf numFmtId="0" fontId="89" fillId="0" borderId="36" xfId="0" applyFont="1" applyBorder="1" applyAlignment="1">
      <alignment horizontal="center" vertical="center" wrapText="1"/>
    </xf>
    <xf numFmtId="0" fontId="54" fillId="0" borderId="36" xfId="0" applyFont="1" applyBorder="1" applyAlignment="1">
      <alignment horizontal="left" vertical="center" wrapText="1"/>
    </xf>
    <xf numFmtId="3" fontId="84" fillId="34" borderId="36" xfId="0" applyNumberFormat="1" applyFont="1" applyFill="1" applyBorder="1" applyAlignment="1">
      <alignment horizontal="center" vertical="center" wrapText="1"/>
    </xf>
    <xf numFmtId="3" fontId="86" fillId="0" borderId="36" xfId="0" applyNumberFormat="1" applyFont="1" applyBorder="1" applyAlignment="1">
      <alignment horizontal="right" vertical="center" wrapText="1"/>
    </xf>
    <xf numFmtId="0" fontId="91" fillId="0" borderId="0" xfId="0" applyFont="1" applyAlignment="1">
      <alignment vertical="center" wrapText="1"/>
    </xf>
    <xf numFmtId="0" fontId="90" fillId="0" borderId="0" xfId="0" applyFont="1" applyAlignment="1">
      <alignment horizontal="center" vertical="center" wrapText="1"/>
    </xf>
    <xf numFmtId="0" fontId="90" fillId="0" borderId="0" xfId="0" applyFont="1" applyAlignment="1">
      <alignment vertical="center" wrapText="1"/>
    </xf>
    <xf numFmtId="0" fontId="90" fillId="0" borderId="36" xfId="0" applyFont="1" applyBorder="1" applyAlignment="1">
      <alignment horizontal="center" vertical="center" wrapText="1"/>
    </xf>
    <xf numFmtId="9" fontId="90" fillId="0" borderId="36" xfId="0" applyNumberFormat="1" applyFont="1" applyBorder="1" applyAlignment="1">
      <alignment horizontal="center" vertical="center" wrapText="1"/>
    </xf>
    <xf numFmtId="49" fontId="90" fillId="0" borderId="36" xfId="0" applyNumberFormat="1" applyFont="1" applyBorder="1" applyAlignment="1">
      <alignment horizontal="center" vertical="center" wrapText="1"/>
    </xf>
    <xf numFmtId="0" fontId="90" fillId="0" borderId="36" xfId="0" applyFont="1" applyBorder="1" applyAlignment="1">
      <alignment horizontal="left" vertical="center" wrapText="1"/>
    </xf>
    <xf numFmtId="0" fontId="92" fillId="0" borderId="36" xfId="0" applyFont="1" applyBorder="1" applyAlignment="1">
      <alignment vertical="center" wrapText="1"/>
    </xf>
    <xf numFmtId="3" fontId="90" fillId="0" borderId="36" xfId="0" applyNumberFormat="1" applyFont="1" applyBorder="1" applyAlignment="1">
      <alignment horizontal="right" vertical="center" wrapText="1"/>
    </xf>
    <xf numFmtId="0" fontId="94" fillId="0" borderId="36" xfId="0" applyFont="1" applyBorder="1" applyAlignment="1">
      <alignment horizontal="center" vertical="center" wrapText="1"/>
    </xf>
    <xf numFmtId="49" fontId="94" fillId="0" borderId="36" xfId="0" applyNumberFormat="1" applyFont="1" applyBorder="1" applyAlignment="1">
      <alignment horizontal="center" vertical="center" wrapText="1"/>
    </xf>
    <xf numFmtId="3" fontId="94" fillId="0" borderId="36" xfId="0" applyNumberFormat="1" applyFont="1" applyBorder="1" applyAlignment="1">
      <alignment horizontal="right" vertical="center" wrapText="1"/>
    </xf>
    <xf numFmtId="0" fontId="94" fillId="0" borderId="0" xfId="0" applyFont="1" applyAlignment="1">
      <alignment vertical="center" wrapText="1"/>
    </xf>
    <xf numFmtId="0" fontId="94" fillId="0" borderId="36" xfId="0" applyFont="1" applyBorder="1" applyAlignment="1">
      <alignment vertical="center" wrapText="1"/>
    </xf>
    <xf numFmtId="16" fontId="94" fillId="0" borderId="36" xfId="0" quotePrefix="1" applyNumberFormat="1" applyFont="1" applyBorder="1" applyAlignment="1">
      <alignment horizontal="center" vertical="center" wrapText="1"/>
    </xf>
    <xf numFmtId="3" fontId="90" fillId="0" borderId="36" xfId="0" applyNumberFormat="1" applyFont="1" applyBorder="1" applyAlignment="1">
      <alignment horizontal="center" vertical="center" wrapText="1"/>
    </xf>
    <xf numFmtId="41" fontId="90" fillId="0" borderId="36" xfId="476" applyFont="1" applyFill="1" applyBorder="1" applyAlignment="1">
      <alignment horizontal="left" vertical="center" wrapText="1"/>
    </xf>
    <xf numFmtId="0" fontId="91" fillId="0" borderId="36" xfId="0" applyFont="1" applyBorder="1" applyAlignment="1">
      <alignment horizontal="center" vertical="center" wrapText="1"/>
    </xf>
    <xf numFmtId="0" fontId="90" fillId="0" borderId="36" xfId="0" applyFont="1" applyBorder="1" applyAlignment="1">
      <alignment vertical="center" wrapText="1"/>
    </xf>
    <xf numFmtId="0" fontId="91" fillId="0" borderId="36" xfId="0" applyFont="1" applyBorder="1" applyAlignment="1">
      <alignment vertical="center" wrapText="1"/>
    </xf>
    <xf numFmtId="3" fontId="91" fillId="0" borderId="36" xfId="0" applyNumberFormat="1" applyFont="1" applyBorder="1" applyAlignment="1">
      <alignment horizontal="right" vertical="center" wrapText="1"/>
    </xf>
    <xf numFmtId="0" fontId="95" fillId="0" borderId="36" xfId="0" applyFont="1" applyBorder="1" applyAlignment="1">
      <alignment horizontal="center" vertical="center" wrapText="1"/>
    </xf>
    <xf numFmtId="0" fontId="95" fillId="0" borderId="36" xfId="0" applyFont="1" applyBorder="1" applyAlignment="1">
      <alignment vertical="center" wrapText="1"/>
    </xf>
    <xf numFmtId="0" fontId="95" fillId="0" borderId="36" xfId="0" quotePrefix="1" applyFont="1" applyBorder="1" applyAlignment="1">
      <alignment horizontal="center" vertical="center" wrapText="1"/>
    </xf>
    <xf numFmtId="3" fontId="95" fillId="0" borderId="36" xfId="0" applyNumberFormat="1" applyFont="1" applyBorder="1" applyAlignment="1">
      <alignment horizontal="right" vertical="center" wrapText="1"/>
    </xf>
    <xf numFmtId="0" fontId="95" fillId="0" borderId="0" xfId="0" applyFont="1" applyAlignment="1">
      <alignment vertical="center" wrapText="1"/>
    </xf>
    <xf numFmtId="3" fontId="94" fillId="0" borderId="36" xfId="0" applyNumberFormat="1" applyFont="1" applyBorder="1" applyAlignment="1">
      <alignment vertical="center" wrapText="1"/>
    </xf>
    <xf numFmtId="0" fontId="91" fillId="0" borderId="36" xfId="0" applyFont="1" applyBorder="1" applyAlignment="1">
      <alignment horizontal="left" vertical="center" wrapText="1"/>
    </xf>
    <xf numFmtId="3" fontId="91" fillId="0" borderId="36" xfId="0" applyNumberFormat="1" applyFont="1" applyBorder="1" applyAlignment="1">
      <alignment vertical="center" wrapText="1"/>
    </xf>
    <xf numFmtId="49" fontId="91" fillId="0" borderId="36" xfId="0" applyNumberFormat="1" applyFont="1" applyBorder="1" applyAlignment="1">
      <alignment horizontal="center" vertical="center" wrapText="1"/>
    </xf>
    <xf numFmtId="3" fontId="95" fillId="0" borderId="36" xfId="0" applyNumberFormat="1" applyFont="1" applyBorder="1" applyAlignment="1">
      <alignment vertical="center" wrapText="1"/>
    </xf>
    <xf numFmtId="49" fontId="95" fillId="0" borderId="36" xfId="0" applyNumberFormat="1" applyFont="1" applyBorder="1" applyAlignment="1">
      <alignment horizontal="center" vertical="center" wrapText="1"/>
    </xf>
    <xf numFmtId="0" fontId="90" fillId="0" borderId="36" xfId="0" applyFont="1" applyBorder="1" applyAlignment="1">
      <alignment horizontal="center" vertical="center"/>
    </xf>
    <xf numFmtId="0" fontId="90" fillId="0" borderId="36" xfId="0" quotePrefix="1" applyFont="1" applyBorder="1" applyAlignment="1">
      <alignment horizontal="center" vertical="center"/>
    </xf>
    <xf numFmtId="0" fontId="90" fillId="0" borderId="21" xfId="0" applyFont="1" applyBorder="1" applyAlignment="1">
      <alignment horizontal="center" vertical="center" wrapText="1"/>
    </xf>
    <xf numFmtId="0" fontId="90" fillId="0" borderId="21" xfId="0" applyFont="1" applyBorder="1" applyAlignment="1">
      <alignment horizontal="left" vertical="center" wrapText="1"/>
    </xf>
    <xf numFmtId="0" fontId="90" fillId="0" borderId="21" xfId="0" applyFont="1" applyBorder="1" applyAlignment="1">
      <alignment horizontal="center" vertical="center"/>
    </xf>
    <xf numFmtId="0" fontId="90" fillId="0" borderId="21" xfId="0" quotePrefix="1" applyFont="1" applyBorder="1" applyAlignment="1">
      <alignment horizontal="center" vertical="center"/>
    </xf>
    <xf numFmtId="3" fontId="90" fillId="0" borderId="21" xfId="0" applyNumberFormat="1" applyFont="1" applyBorder="1" applyAlignment="1">
      <alignment horizontal="center" vertical="center" wrapText="1"/>
    </xf>
    <xf numFmtId="3" fontId="90" fillId="0" borderId="21" xfId="0" applyNumberFormat="1" applyFont="1" applyBorder="1" applyAlignment="1">
      <alignment horizontal="right" vertical="center" wrapText="1"/>
    </xf>
    <xf numFmtId="0" fontId="90" fillId="0" borderId="36" xfId="0" applyFont="1" applyBorder="1" applyAlignment="1">
      <alignment horizontal="justify" vertical="center" wrapText="1"/>
    </xf>
    <xf numFmtId="0" fontId="91" fillId="0" borderId="36" xfId="0" quotePrefix="1" applyFont="1" applyBorder="1" applyAlignment="1">
      <alignment horizontal="center" vertical="center" wrapText="1"/>
    </xf>
    <xf numFmtId="0" fontId="91" fillId="0" borderId="36" xfId="0" applyFont="1" applyBorder="1" applyAlignment="1">
      <alignment horizontal="justify" vertical="center" wrapText="1"/>
    </xf>
    <xf numFmtId="0" fontId="90" fillId="0" borderId="36" xfId="0" quotePrefix="1" applyFont="1" applyBorder="1" applyAlignment="1">
      <alignment horizontal="center" vertical="center" wrapText="1"/>
    </xf>
    <xf numFmtId="3" fontId="90" fillId="0" borderId="31" xfId="0" applyNumberFormat="1" applyFont="1" applyBorder="1" applyAlignment="1">
      <alignment horizontal="center" vertical="center" wrapText="1"/>
    </xf>
    <xf numFmtId="3" fontId="90" fillId="0" borderId="36" xfId="0" applyNumberFormat="1" applyFont="1" applyBorder="1" applyAlignment="1">
      <alignment vertical="center" wrapText="1"/>
    </xf>
    <xf numFmtId="0" fontId="91" fillId="0" borderId="0" xfId="0" applyFont="1" applyAlignment="1">
      <alignment horizontal="center" vertical="center" wrapText="1"/>
    </xf>
    <xf numFmtId="165" fontId="96" fillId="31" borderId="36" xfId="262" applyNumberFormat="1" applyFont="1" applyFill="1" applyBorder="1" applyAlignment="1">
      <alignment horizontal="right"/>
    </xf>
    <xf numFmtId="172" fontId="28" fillId="0" borderId="36" xfId="0" applyNumberFormat="1" applyFont="1" applyBorder="1" applyAlignment="1">
      <alignment horizontal="center" vertical="center"/>
    </xf>
    <xf numFmtId="0" fontId="30" fillId="28" borderId="36" xfId="0" applyFont="1" applyFill="1" applyBorder="1" applyAlignment="1">
      <alignment horizontal="center" vertical="center" wrapText="1"/>
    </xf>
    <xf numFmtId="0" fontId="97" fillId="0" borderId="36" xfId="0" applyFont="1" applyBorder="1" applyAlignment="1">
      <alignment horizontal="center" vertical="center" wrapText="1"/>
    </xf>
    <xf numFmtId="0" fontId="88" fillId="0" borderId="36" xfId="0" applyFont="1" applyBorder="1" applyAlignment="1">
      <alignment horizontal="justify" vertical="center" wrapText="1"/>
    </xf>
    <xf numFmtId="0" fontId="34" fillId="29" borderId="36" xfId="0" applyFont="1" applyFill="1" applyBorder="1" applyAlignment="1">
      <alignment horizontal="center" vertical="center" wrapText="1"/>
    </xf>
    <xf numFmtId="0" fontId="42" fillId="29" borderId="36" xfId="0" applyFont="1" applyFill="1" applyBorder="1" applyAlignment="1">
      <alignment horizontal="center" vertical="center" wrapText="1"/>
    </xf>
    <xf numFmtId="49" fontId="98" fillId="0" borderId="36" xfId="0" applyNumberFormat="1" applyFont="1" applyBorder="1" applyAlignment="1">
      <alignment horizontal="center" vertical="center" wrapText="1"/>
    </xf>
    <xf numFmtId="0" fontId="98" fillId="0" borderId="36" xfId="0" applyFont="1" applyBorder="1" applyAlignment="1">
      <alignment horizontal="center" vertical="center" wrapText="1"/>
    </xf>
    <xf numFmtId="3" fontId="98" fillId="0" borderId="36" xfId="0" applyNumberFormat="1" applyFont="1" applyBorder="1" applyAlignment="1">
      <alignment horizontal="right" vertical="center" wrapText="1"/>
    </xf>
    <xf numFmtId="0" fontId="98" fillId="0" borderId="0" xfId="0" applyFont="1" applyAlignment="1">
      <alignment vertical="center" wrapText="1"/>
    </xf>
    <xf numFmtId="0" fontId="86" fillId="0" borderId="36" xfId="0" applyFont="1" applyBorder="1" applyAlignment="1">
      <alignment horizontal="left" vertical="center" wrapText="1"/>
    </xf>
    <xf numFmtId="0" fontId="86" fillId="0" borderId="36" xfId="0" applyFont="1" applyBorder="1" applyAlignment="1">
      <alignment horizontal="center" vertical="center" wrapText="1"/>
    </xf>
    <xf numFmtId="3" fontId="83" fillId="0" borderId="36" xfId="0" applyNumberFormat="1" applyFont="1" applyBorder="1" applyAlignment="1">
      <alignment horizontal="right" vertical="center" wrapText="1"/>
    </xf>
    <xf numFmtId="0" fontId="86" fillId="0" borderId="0" xfId="0" applyFont="1" applyAlignment="1">
      <alignment vertical="center" wrapText="1"/>
    </xf>
    <xf numFmtId="0" fontId="97" fillId="33" borderId="62" xfId="0" applyFont="1" applyFill="1" applyBorder="1" applyAlignment="1">
      <alignment horizontal="center" vertical="center" wrapText="1"/>
    </xf>
    <xf numFmtId="0" fontId="97" fillId="33" borderId="36" xfId="0" applyFont="1" applyFill="1" applyBorder="1" applyAlignment="1">
      <alignment vertical="center" wrapText="1"/>
    </xf>
    <xf numFmtId="3" fontId="86" fillId="33" borderId="0" xfId="0" applyNumberFormat="1" applyFont="1" applyFill="1" applyAlignment="1">
      <alignment horizontal="right" vertical="center" wrapText="1"/>
    </xf>
    <xf numFmtId="0" fontId="99" fillId="0" borderId="36" xfId="0" applyFont="1" applyBorder="1" applyAlignment="1">
      <alignment horizontal="center" vertical="center" wrapText="1"/>
    </xf>
    <xf numFmtId="0" fontId="90" fillId="0" borderId="62" xfId="0" applyFont="1" applyBorder="1" applyAlignment="1">
      <alignment horizontal="left" vertical="center" wrapText="1"/>
    </xf>
    <xf numFmtId="2" fontId="54" fillId="31" borderId="36" xfId="0" applyNumberFormat="1" applyFont="1" applyFill="1" applyBorder="1" applyAlignment="1">
      <alignment horizontal="center" vertical="center" wrapText="1"/>
    </xf>
    <xf numFmtId="49" fontId="30" fillId="28" borderId="36" xfId="0" applyNumberFormat="1" applyFont="1" applyFill="1" applyBorder="1" applyAlignment="1">
      <alignment horizontal="center" vertical="center" wrapText="1"/>
    </xf>
    <xf numFmtId="0" fontId="90" fillId="34" borderId="36" xfId="0" applyFont="1" applyFill="1" applyBorder="1" applyAlignment="1">
      <alignment horizontal="center" vertical="center"/>
    </xf>
    <xf numFmtId="0" fontId="90" fillId="34" borderId="36" xfId="0" applyFont="1" applyFill="1" applyBorder="1" applyAlignment="1">
      <alignment horizontal="center" vertical="center" wrapText="1"/>
    </xf>
    <xf numFmtId="0" fontId="54" fillId="0" borderId="36" xfId="0" applyFont="1" applyBorder="1" applyAlignment="1">
      <alignment horizontal="justify" vertical="center" wrapText="1"/>
    </xf>
    <xf numFmtId="3" fontId="65" fillId="0" borderId="36" xfId="0" applyNumberFormat="1" applyFont="1" applyBorder="1" applyAlignment="1">
      <alignment horizontal="right" vertical="center" wrapText="1"/>
    </xf>
    <xf numFmtId="0" fontId="55" fillId="29" borderId="48" xfId="0" applyFont="1" applyFill="1" applyBorder="1" applyAlignment="1">
      <alignment horizontal="center" vertical="center" wrapText="1"/>
    </xf>
    <xf numFmtId="0" fontId="67" fillId="0" borderId="36" xfId="0" applyFont="1" applyBorder="1" applyAlignment="1">
      <alignment horizontal="justify" vertical="center" wrapText="1"/>
    </xf>
    <xf numFmtId="3" fontId="67" fillId="0" borderId="36" xfId="0" applyNumberFormat="1" applyFont="1" applyBorder="1" applyAlignment="1">
      <alignment vertical="center"/>
    </xf>
    <xf numFmtId="173" fontId="67" fillId="0" borderId="36" xfId="0" applyNumberFormat="1" applyFont="1" applyBorder="1" applyAlignment="1">
      <alignment horizontal="right" vertical="center"/>
    </xf>
    <xf numFmtId="173" fontId="67" fillId="0" borderId="36" xfId="0" applyNumberFormat="1" applyFont="1" applyBorder="1" applyAlignment="1">
      <alignment horizontal="right" vertical="center" wrapText="1"/>
    </xf>
    <xf numFmtId="3" fontId="67" fillId="0" borderId="36" xfId="0" applyNumberFormat="1" applyFont="1" applyBorder="1" applyAlignment="1">
      <alignment horizontal="right" vertical="center"/>
    </xf>
    <xf numFmtId="0" fontId="67" fillId="0" borderId="0" xfId="0" applyFont="1" applyAlignment="1">
      <alignment vertical="center"/>
    </xf>
    <xf numFmtId="0" fontId="67" fillId="0" borderId="59" xfId="0" applyFont="1" applyBorder="1" applyAlignment="1">
      <alignment vertical="center"/>
    </xf>
    <xf numFmtId="0" fontId="103" fillId="0" borderId="0" xfId="0" applyFont="1"/>
    <xf numFmtId="0" fontId="30" fillId="0" borderId="36" xfId="0" applyFont="1" applyBorder="1" applyAlignment="1">
      <alignment horizontal="right" vertical="center" wrapText="1"/>
    </xf>
    <xf numFmtId="179" fontId="28" fillId="0" borderId="36" xfId="0" applyNumberFormat="1" applyFont="1" applyBorder="1" applyAlignment="1">
      <alignment horizontal="right" vertical="center" wrapText="1"/>
    </xf>
    <xf numFmtId="0" fontId="105" fillId="0" borderId="0" xfId="0" applyFont="1"/>
    <xf numFmtId="0" fontId="106" fillId="0" borderId="36" xfId="0" applyFont="1" applyBorder="1" applyAlignment="1">
      <alignment horizontal="center" vertical="center" wrapText="1"/>
    </xf>
    <xf numFmtId="0" fontId="107" fillId="0" borderId="36" xfId="0" applyFont="1" applyBorder="1" applyAlignment="1">
      <alignment horizontal="center" vertical="center" wrapText="1"/>
    </xf>
    <xf numFmtId="0" fontId="28" fillId="0" borderId="36" xfId="0" applyFont="1" applyBorder="1" applyAlignment="1">
      <alignment horizontal="center" vertical="center"/>
    </xf>
    <xf numFmtId="0" fontId="28" fillId="0" borderId="29" xfId="0" applyFont="1" applyBorder="1" applyAlignment="1">
      <alignment horizontal="center" vertical="center"/>
    </xf>
    <xf numFmtId="0" fontId="12" fillId="26" borderId="62" xfId="0" applyFont="1" applyFill="1" applyBorder="1" applyAlignment="1">
      <alignment horizontal="center" vertical="center" wrapText="1"/>
    </xf>
    <xf numFmtId="0" fontId="12" fillId="26" borderId="4" xfId="0" applyFont="1" applyFill="1" applyBorder="1" applyAlignment="1">
      <alignment horizontal="center" vertical="center" wrapText="1"/>
    </xf>
    <xf numFmtId="0" fontId="12" fillId="26" borderId="50" xfId="0" applyFont="1" applyFill="1" applyBorder="1" applyAlignment="1">
      <alignment horizontal="center" vertical="center" wrapText="1"/>
    </xf>
    <xf numFmtId="3" fontId="67" fillId="0" borderId="36" xfId="277" applyNumberFormat="1" applyFont="1" applyFill="1" applyBorder="1" applyAlignment="1">
      <alignment horizontal="center" vertical="center"/>
    </xf>
    <xf numFmtId="3" fontId="28" fillId="0" borderId="36" xfId="0" applyNumberFormat="1" applyFont="1" applyBorder="1" applyAlignment="1">
      <alignment horizontal="center" vertical="center"/>
    </xf>
    <xf numFmtId="3" fontId="30" fillId="24" borderId="16" xfId="0" applyNumberFormat="1" applyFont="1" applyFill="1" applyBorder="1" applyAlignment="1">
      <alignment horizontal="center" vertical="center" wrapText="1"/>
    </xf>
    <xf numFmtId="3" fontId="30" fillId="24" borderId="17" xfId="0" applyNumberFormat="1" applyFont="1" applyFill="1" applyBorder="1" applyAlignment="1">
      <alignment horizontal="center" vertical="center" wrapText="1"/>
    </xf>
    <xf numFmtId="0" fontId="30" fillId="24" borderId="16" xfId="0" applyFont="1" applyFill="1" applyBorder="1" applyAlignment="1">
      <alignment horizontal="center" vertical="center" wrapText="1"/>
    </xf>
    <xf numFmtId="0" fontId="30" fillId="0" borderId="0" xfId="0" applyFont="1" applyAlignment="1">
      <alignment horizontal="center" vertical="center" wrapText="1"/>
    </xf>
    <xf numFmtId="3" fontId="67" fillId="0" borderId="93" xfId="277" applyNumberFormat="1" applyFont="1" applyFill="1" applyBorder="1" applyAlignment="1">
      <alignment horizontal="center" vertical="center"/>
    </xf>
    <xf numFmtId="3" fontId="28" fillId="0" borderId="87" xfId="0" applyNumberFormat="1" applyFont="1" applyBorder="1" applyAlignment="1">
      <alignment vertical="center" wrapText="1"/>
    </xf>
    <xf numFmtId="0" fontId="0" fillId="0" borderId="88" xfId="0" applyBorder="1" applyAlignment="1">
      <alignment vertical="center" wrapText="1"/>
    </xf>
    <xf numFmtId="3" fontId="30" fillId="24" borderId="36" xfId="0" applyNumberFormat="1" applyFont="1" applyFill="1" applyBorder="1" applyAlignment="1">
      <alignment horizontal="center" vertical="center" wrapText="1"/>
    </xf>
    <xf numFmtId="0" fontId="30" fillId="34" borderId="0" xfId="0" applyFont="1" applyFill="1" applyAlignment="1">
      <alignment horizontal="center" vertical="center" wrapText="1"/>
    </xf>
    <xf numFmtId="0" fontId="28" fillId="0" borderId="36" xfId="0" applyFont="1" applyBorder="1" applyAlignment="1">
      <alignment horizontal="left"/>
    </xf>
    <xf numFmtId="0" fontId="12" fillId="0" borderId="0" xfId="0" applyFont="1" applyAlignment="1">
      <alignment horizontal="center"/>
    </xf>
    <xf numFmtId="0" fontId="28" fillId="32" borderId="36" xfId="0" applyFont="1" applyFill="1" applyBorder="1" applyAlignment="1">
      <alignment horizontal="center" vertical="center" wrapText="1"/>
    </xf>
    <xf numFmtId="0" fontId="102" fillId="0" borderId="0" xfId="411" quotePrefix="1" applyFont="1" applyAlignment="1">
      <alignment horizontal="left" vertical="center" wrapText="1"/>
    </xf>
    <xf numFmtId="0" fontId="102" fillId="0" borderId="0" xfId="411" applyFont="1" applyAlignment="1">
      <alignment horizontal="left" vertical="center" wrapText="1"/>
    </xf>
    <xf numFmtId="0" fontId="54" fillId="0" borderId="25" xfId="0" applyFont="1" applyBorder="1" applyAlignment="1">
      <alignment horizontal="left" vertical="center" wrapText="1"/>
    </xf>
    <xf numFmtId="0" fontId="54" fillId="0" borderId="40" xfId="0" applyFont="1" applyBorder="1" applyAlignment="1">
      <alignment horizontal="left" vertical="center" wrapText="1"/>
    </xf>
    <xf numFmtId="0" fontId="54" fillId="0" borderId="41" xfId="0" applyFont="1" applyBorder="1" applyAlignment="1">
      <alignment horizontal="left" vertical="center" wrapText="1"/>
    </xf>
    <xf numFmtId="0" fontId="36" fillId="29" borderId="36" xfId="0" applyFont="1" applyFill="1" applyBorder="1" applyAlignment="1">
      <alignment horizontal="left" vertical="center" wrapText="1"/>
    </xf>
    <xf numFmtId="0" fontId="54" fillId="33" borderId="21" xfId="0" applyFont="1" applyFill="1" applyBorder="1" applyAlignment="1">
      <alignment horizontal="center" vertical="center" wrapText="1"/>
    </xf>
    <xf numFmtId="0" fontId="54" fillId="33" borderId="56" xfId="0" applyFont="1" applyFill="1" applyBorder="1" applyAlignment="1">
      <alignment horizontal="center" vertical="center" wrapText="1"/>
    </xf>
    <xf numFmtId="0" fontId="54" fillId="33" borderId="31" xfId="0" applyFont="1" applyFill="1" applyBorder="1" applyAlignment="1">
      <alignment horizontal="center" vertical="center" wrapText="1"/>
    </xf>
    <xf numFmtId="49" fontId="54" fillId="33" borderId="21" xfId="0" applyNumberFormat="1" applyFont="1" applyFill="1" applyBorder="1" applyAlignment="1">
      <alignment horizontal="center" vertical="center" wrapText="1"/>
    </xf>
    <xf numFmtId="49" fontId="54" fillId="33" borderId="56" xfId="0" applyNumberFormat="1" applyFont="1" applyFill="1" applyBorder="1" applyAlignment="1">
      <alignment horizontal="center" vertical="center" wrapText="1"/>
    </xf>
    <xf numFmtId="49" fontId="54" fillId="33" borderId="31" xfId="0" applyNumberFormat="1" applyFont="1" applyFill="1" applyBorder="1" applyAlignment="1">
      <alignment horizontal="center" vertical="center" wrapText="1"/>
    </xf>
    <xf numFmtId="0" fontId="56" fillId="31" borderId="21" xfId="0" applyFont="1" applyFill="1" applyBorder="1" applyAlignment="1">
      <alignment horizontal="center" vertical="center" wrapText="1"/>
    </xf>
    <xf numFmtId="0" fontId="56" fillId="31" borderId="56" xfId="0" applyFont="1" applyFill="1" applyBorder="1" applyAlignment="1">
      <alignment horizontal="center" vertical="center" wrapText="1"/>
    </xf>
    <xf numFmtId="0" fontId="56" fillId="31" borderId="31" xfId="0" applyFont="1" applyFill="1" applyBorder="1" applyAlignment="1">
      <alignment horizontal="center" vertical="center" wrapText="1"/>
    </xf>
    <xf numFmtId="0" fontId="35" fillId="33" borderId="36" xfId="0" applyFont="1" applyFill="1" applyBorder="1" applyAlignment="1">
      <alignment horizontal="center" vertical="center" wrapText="1"/>
    </xf>
    <xf numFmtId="0" fontId="30" fillId="27" borderId="36" xfId="0" applyFont="1" applyFill="1" applyBorder="1" applyAlignment="1">
      <alignment horizontal="left" vertical="center" wrapText="1"/>
    </xf>
    <xf numFmtId="0" fontId="12" fillId="0" borderId="0" xfId="0" applyFont="1" applyAlignment="1">
      <alignment horizontal="center" vertical="center" wrapText="1"/>
    </xf>
    <xf numFmtId="0" fontId="66" fillId="28" borderId="36" xfId="0" applyFont="1" applyFill="1" applyBorder="1" applyAlignment="1">
      <alignment vertical="center" wrapText="1"/>
    </xf>
    <xf numFmtId="0" fontId="30" fillId="27" borderId="36" xfId="0" applyFont="1" applyFill="1" applyBorder="1" applyAlignment="1">
      <alignment vertical="center" wrapText="1"/>
    </xf>
    <xf numFmtId="0" fontId="36" fillId="27" borderId="36" xfId="0" applyFont="1" applyFill="1" applyBorder="1" applyAlignment="1">
      <alignment horizontal="left" vertical="center" wrapText="1"/>
    </xf>
    <xf numFmtId="0" fontId="35" fillId="31" borderId="36" xfId="0" applyFont="1" applyFill="1" applyBorder="1" applyAlignment="1">
      <alignment horizontal="center" vertical="center" wrapText="1"/>
    </xf>
    <xf numFmtId="49" fontId="35" fillId="31" borderId="36" xfId="0" applyNumberFormat="1" applyFont="1" applyFill="1" applyBorder="1" applyAlignment="1">
      <alignment horizontal="center" vertical="center" wrapText="1"/>
    </xf>
    <xf numFmtId="49" fontId="35" fillId="33" borderId="36" xfId="0" applyNumberFormat="1" applyFont="1" applyFill="1" applyBorder="1" applyAlignment="1">
      <alignment horizontal="center" vertical="center" wrapText="1"/>
    </xf>
    <xf numFmtId="49" fontId="35" fillId="31" borderId="21" xfId="0" applyNumberFormat="1" applyFont="1" applyFill="1" applyBorder="1" applyAlignment="1">
      <alignment horizontal="center" vertical="center" wrapText="1"/>
    </xf>
    <xf numFmtId="49" fontId="35" fillId="31" borderId="56" xfId="0" applyNumberFormat="1" applyFont="1" applyFill="1" applyBorder="1" applyAlignment="1">
      <alignment horizontal="center" vertical="center" wrapText="1"/>
    </xf>
    <xf numFmtId="49" fontId="35" fillId="31" borderId="31" xfId="0" applyNumberFormat="1" applyFont="1" applyFill="1" applyBorder="1" applyAlignment="1">
      <alignment horizontal="center" vertical="center" wrapText="1"/>
    </xf>
    <xf numFmtId="0" fontId="56" fillId="33" borderId="21" xfId="0" applyFont="1" applyFill="1" applyBorder="1" applyAlignment="1">
      <alignment horizontal="center" vertical="center" wrapText="1"/>
    </xf>
    <xf numFmtId="0" fontId="56" fillId="33" borderId="56" xfId="0" applyFont="1" applyFill="1" applyBorder="1" applyAlignment="1">
      <alignment horizontal="center" vertical="center" wrapText="1"/>
    </xf>
    <xf numFmtId="0" fontId="56" fillId="33" borderId="31" xfId="0" applyFont="1" applyFill="1" applyBorder="1" applyAlignment="1">
      <alignment horizontal="center" vertical="center" wrapText="1"/>
    </xf>
    <xf numFmtId="49" fontId="56" fillId="33" borderId="21" xfId="0" applyNumberFormat="1" applyFont="1" applyFill="1" applyBorder="1" applyAlignment="1">
      <alignment horizontal="center" vertical="center" wrapText="1"/>
    </xf>
    <xf numFmtId="49" fontId="56" fillId="33" borderId="56" xfId="0" applyNumberFormat="1" applyFont="1" applyFill="1" applyBorder="1" applyAlignment="1">
      <alignment horizontal="center" vertical="center" wrapText="1"/>
    </xf>
    <xf numFmtId="49" fontId="56" fillId="33" borderId="31" xfId="0" applyNumberFormat="1" applyFont="1" applyFill="1" applyBorder="1" applyAlignment="1">
      <alignment horizontal="center" vertical="center" wrapText="1"/>
    </xf>
    <xf numFmtId="0" fontId="54" fillId="0" borderId="25" xfId="0" applyFont="1" applyBorder="1" applyAlignment="1">
      <alignment vertical="center" wrapText="1"/>
    </xf>
    <xf numFmtId="0" fontId="54" fillId="0" borderId="40" xfId="0" applyFont="1" applyBorder="1" applyAlignment="1">
      <alignment vertical="center" wrapText="1"/>
    </xf>
    <xf numFmtId="0" fontId="54" fillId="0" borderId="41" xfId="0" applyFont="1" applyBorder="1" applyAlignment="1">
      <alignment vertical="center" wrapText="1"/>
    </xf>
    <xf numFmtId="0" fontId="30" fillId="28" borderId="36" xfId="0" applyFont="1" applyFill="1" applyBorder="1" applyAlignment="1">
      <alignment horizontal="left" vertical="center" wrapText="1"/>
    </xf>
    <xf numFmtId="0" fontId="65" fillId="27" borderId="36" xfId="0" applyFont="1" applyFill="1" applyBorder="1" applyAlignment="1">
      <alignment horizontal="left" vertical="center" wrapText="1"/>
    </xf>
    <xf numFmtId="0" fontId="66" fillId="36" borderId="36" xfId="0" applyFont="1" applyFill="1" applyBorder="1" applyAlignment="1">
      <alignment horizontal="left" vertical="center" wrapText="1"/>
    </xf>
    <xf numFmtId="0" fontId="30" fillId="28" borderId="36" xfId="0" applyFont="1" applyFill="1" applyBorder="1" applyAlignment="1">
      <alignment vertical="center" wrapText="1"/>
    </xf>
    <xf numFmtId="0" fontId="36" fillId="0" borderId="36" xfId="0" applyFont="1" applyBorder="1" applyAlignment="1">
      <alignment horizontal="left" vertical="center" wrapText="1"/>
    </xf>
    <xf numFmtId="0" fontId="35" fillId="33" borderId="38" xfId="0" quotePrefix="1" applyFont="1" applyFill="1" applyBorder="1" applyAlignment="1">
      <alignment horizontal="left" vertical="center" wrapText="1"/>
    </xf>
    <xf numFmtId="0" fontId="35" fillId="33" borderId="79" xfId="0" quotePrefix="1" applyFont="1" applyFill="1" applyBorder="1" applyAlignment="1">
      <alignment horizontal="left" vertical="center" wrapText="1"/>
    </xf>
    <xf numFmtId="0" fontId="35" fillId="33" borderId="79" xfId="0" applyFont="1" applyFill="1" applyBorder="1" applyAlignment="1">
      <alignment horizontal="left" vertical="center" wrapText="1"/>
    </xf>
    <xf numFmtId="0" fontId="35" fillId="33" borderId="74" xfId="0" applyFont="1" applyFill="1" applyBorder="1" applyAlignment="1">
      <alignment horizontal="left" vertical="center" wrapText="1"/>
    </xf>
    <xf numFmtId="0" fontId="35" fillId="33" borderId="25" xfId="0" applyFont="1" applyFill="1" applyBorder="1" applyAlignment="1">
      <alignment horizontal="left" vertical="center" wrapText="1"/>
    </xf>
    <xf numFmtId="0" fontId="35" fillId="33" borderId="40" xfId="0" applyFont="1" applyFill="1" applyBorder="1" applyAlignment="1">
      <alignment horizontal="left" vertical="center" wrapText="1"/>
    </xf>
    <xf numFmtId="0" fontId="35" fillId="33" borderId="41" xfId="0" applyFont="1" applyFill="1" applyBorder="1" applyAlignment="1">
      <alignment horizontal="left" vertical="center" wrapText="1"/>
    </xf>
    <xf numFmtId="0" fontId="35" fillId="33" borderId="25" xfId="0" quotePrefix="1" applyFont="1" applyFill="1" applyBorder="1" applyAlignment="1">
      <alignment horizontal="left" vertical="center" wrapText="1"/>
    </xf>
    <xf numFmtId="0" fontId="35" fillId="33" borderId="40" xfId="0" quotePrefix="1" applyFont="1" applyFill="1" applyBorder="1" applyAlignment="1">
      <alignment horizontal="left" vertical="center" wrapText="1"/>
    </xf>
    <xf numFmtId="49" fontId="54" fillId="33" borderId="36" xfId="0" applyNumberFormat="1" applyFont="1" applyFill="1" applyBorder="1" applyAlignment="1">
      <alignment horizontal="center" vertical="center" wrapText="1"/>
    </xf>
    <xf numFmtId="0" fontId="54" fillId="33" borderId="36" xfId="0" applyFont="1" applyFill="1" applyBorder="1" applyAlignment="1">
      <alignment horizontal="left" vertical="center" wrapText="1"/>
    </xf>
    <xf numFmtId="0" fontId="82" fillId="28" borderId="36" xfId="0" applyFont="1" applyFill="1" applyBorder="1" applyAlignment="1">
      <alignment vertical="center" wrapText="1"/>
    </xf>
    <xf numFmtId="3" fontId="84" fillId="42" borderId="36" xfId="0" applyNumberFormat="1" applyFont="1" applyFill="1" applyBorder="1" applyAlignment="1">
      <alignment horizontal="center" vertical="center" wrapText="1"/>
    </xf>
    <xf numFmtId="0" fontId="0" fillId="0" borderId="36" xfId="0" applyBorder="1" applyAlignment="1">
      <alignment vertical="center" wrapText="1"/>
    </xf>
    <xf numFmtId="0" fontId="36" fillId="42" borderId="36" xfId="0" applyFont="1" applyFill="1" applyBorder="1" applyAlignment="1">
      <alignment horizontal="center" vertical="center" wrapText="1"/>
    </xf>
    <xf numFmtId="0" fontId="85" fillId="42" borderId="36" xfId="0" applyFont="1" applyFill="1" applyBorder="1" applyAlignment="1">
      <alignment horizontal="center" vertical="center" wrapText="1"/>
    </xf>
    <xf numFmtId="0" fontId="84" fillId="42" borderId="36" xfId="0" applyFont="1" applyFill="1" applyBorder="1" applyAlignment="1">
      <alignment horizontal="center" vertical="center" wrapText="1"/>
    </xf>
    <xf numFmtId="0" fontId="101" fillId="0" borderId="36" xfId="0" applyFont="1" applyBorder="1" applyAlignment="1">
      <alignment horizontal="center" vertical="center" wrapText="1"/>
    </xf>
    <xf numFmtId="3" fontId="36" fillId="42" borderId="36" xfId="0" applyNumberFormat="1" applyFont="1" applyFill="1" applyBorder="1" applyAlignment="1">
      <alignment horizontal="center" vertical="center"/>
    </xf>
    <xf numFmtId="0" fontId="101" fillId="42" borderId="36" xfId="0" applyFont="1" applyFill="1" applyBorder="1" applyAlignment="1">
      <alignment horizontal="center" vertical="center" wrapText="1"/>
    </xf>
    <xf numFmtId="3" fontId="36" fillId="42" borderId="36" xfId="0" applyNumberFormat="1" applyFont="1" applyFill="1" applyBorder="1" applyAlignment="1">
      <alignment horizontal="center" vertical="center" wrapText="1"/>
    </xf>
    <xf numFmtId="0" fontId="0" fillId="0" borderId="36" xfId="0" applyBorder="1" applyAlignment="1">
      <alignment horizontal="center" vertical="center" wrapText="1"/>
    </xf>
    <xf numFmtId="0" fontId="36" fillId="42" borderId="21" xfId="0" applyFont="1" applyFill="1" applyBorder="1" applyAlignment="1">
      <alignment horizontal="center" vertical="center" wrapText="1"/>
    </xf>
    <xf numFmtId="0" fontId="0" fillId="42" borderId="31" xfId="0" applyFill="1" applyBorder="1" applyAlignment="1">
      <alignment horizontal="center" vertical="center" wrapText="1"/>
    </xf>
    <xf numFmtId="0" fontId="36" fillId="0" borderId="62" xfId="0" applyFont="1" applyBorder="1" applyAlignment="1">
      <alignment horizontal="center" vertical="center" wrapText="1"/>
    </xf>
    <xf numFmtId="0" fontId="36" fillId="0" borderId="36" xfId="0" applyFont="1" applyBorder="1" applyAlignment="1">
      <alignment horizontal="center" vertical="center" wrapText="1"/>
    </xf>
    <xf numFmtId="3" fontId="84" fillId="0" borderId="36" xfId="0" applyNumberFormat="1" applyFont="1" applyBorder="1" applyAlignment="1">
      <alignment horizontal="center" vertical="center" wrapText="1"/>
    </xf>
    <xf numFmtId="3" fontId="84" fillId="0" borderId="36" xfId="0" applyNumberFormat="1" applyFont="1" applyBorder="1" applyAlignment="1">
      <alignment horizontal="center" vertical="center"/>
    </xf>
    <xf numFmtId="3" fontId="36" fillId="0" borderId="36" xfId="0" applyNumberFormat="1" applyFont="1" applyBorder="1" applyAlignment="1">
      <alignment horizontal="center" vertical="center"/>
    </xf>
    <xf numFmtId="49" fontId="36" fillId="0" borderId="36" xfId="0" applyNumberFormat="1" applyFont="1" applyBorder="1" applyAlignment="1">
      <alignment horizontal="center" vertical="center"/>
    </xf>
    <xf numFmtId="3" fontId="36" fillId="0" borderId="36" xfId="0" applyNumberFormat="1" applyFont="1" applyBorder="1" applyAlignment="1">
      <alignment horizontal="center" vertical="center" wrapText="1"/>
    </xf>
    <xf numFmtId="0" fontId="73" fillId="0" borderId="0" xfId="0" applyFont="1" applyAlignment="1">
      <alignment horizontal="left" vertical="center" wrapText="1"/>
    </xf>
    <xf numFmtId="0" fontId="35" fillId="0" borderId="0" xfId="0" applyFont="1" applyAlignment="1">
      <alignment horizontal="left" vertical="center" wrapText="1"/>
    </xf>
    <xf numFmtId="49" fontId="36" fillId="42" borderId="36" xfId="0" applyNumberFormat="1" applyFont="1" applyFill="1" applyBorder="1" applyAlignment="1">
      <alignment horizontal="center" vertical="center"/>
    </xf>
    <xf numFmtId="3" fontId="84" fillId="42" borderId="36" xfId="0" applyNumberFormat="1" applyFont="1" applyFill="1" applyBorder="1" applyAlignment="1">
      <alignment horizontal="center" vertical="center"/>
    </xf>
    <xf numFmtId="0" fontId="35" fillId="0" borderId="36" xfId="0" applyFont="1" applyBorder="1" applyAlignment="1">
      <alignment vertical="center" wrapText="1"/>
    </xf>
    <xf numFmtId="0" fontId="35" fillId="35" borderId="36" xfId="0" applyFont="1" applyFill="1" applyBorder="1" applyAlignment="1">
      <alignment horizontal="center" vertical="center" wrapText="1"/>
    </xf>
    <xf numFmtId="0" fontId="36" fillId="0" borderId="36" xfId="0" applyFont="1" applyBorder="1" applyAlignment="1">
      <alignment horizontal="center" vertical="center"/>
    </xf>
    <xf numFmtId="0" fontId="36" fillId="42" borderId="36" xfId="0" applyFont="1" applyFill="1" applyBorder="1" applyAlignment="1">
      <alignment horizontal="center" vertical="center"/>
    </xf>
    <xf numFmtId="0" fontId="70" fillId="0" borderId="36" xfId="0" applyFont="1" applyBorder="1" applyAlignment="1">
      <alignment horizontal="center" vertical="center" wrapText="1"/>
    </xf>
    <xf numFmtId="0" fontId="70" fillId="0" borderId="36" xfId="0" applyFont="1" applyBorder="1" applyAlignment="1">
      <alignment horizontal="left" vertical="center" wrapText="1"/>
    </xf>
    <xf numFmtId="0" fontId="35" fillId="33" borderId="26" xfId="0" applyFont="1" applyFill="1" applyBorder="1" applyAlignment="1">
      <alignment horizontal="center" vertical="center" wrapText="1"/>
    </xf>
    <xf numFmtId="0" fontId="35" fillId="33" borderId="59" xfId="0" applyFont="1" applyFill="1" applyBorder="1" applyAlignment="1">
      <alignment horizontal="center" vertical="center" wrapText="1"/>
    </xf>
    <xf numFmtId="0" fontId="35" fillId="33" borderId="33" xfId="0" applyFont="1" applyFill="1" applyBorder="1" applyAlignment="1">
      <alignment horizontal="center" vertical="center" wrapText="1"/>
    </xf>
    <xf numFmtId="0" fontId="73" fillId="0" borderId="36" xfId="0" applyFont="1" applyBorder="1" applyAlignment="1">
      <alignment horizontal="left" vertical="center" wrapText="1"/>
    </xf>
    <xf numFmtId="49" fontId="36" fillId="0" borderId="62" xfId="0" applyNumberFormat="1" applyFont="1" applyBorder="1" applyAlignment="1">
      <alignment horizontal="center" vertical="center" wrapText="1"/>
    </xf>
    <xf numFmtId="0" fontId="36" fillId="0" borderId="62" xfId="0" applyFont="1" applyBorder="1" applyAlignment="1">
      <alignment horizontal="center" vertical="center"/>
    </xf>
    <xf numFmtId="3" fontId="84" fillId="33" borderId="36" xfId="0" applyNumberFormat="1" applyFont="1" applyFill="1" applyBorder="1" applyAlignment="1">
      <alignment horizontal="center" vertical="center"/>
    </xf>
    <xf numFmtId="0" fontId="56" fillId="0" borderId="36" xfId="0" applyFont="1" applyBorder="1" applyAlignment="1">
      <alignment vertical="center" wrapText="1"/>
    </xf>
    <xf numFmtId="49" fontId="86" fillId="0" borderId="62" xfId="0" applyNumberFormat="1" applyFont="1" applyBorder="1" applyAlignment="1">
      <alignment horizontal="center" vertical="center" wrapText="1"/>
    </xf>
    <xf numFmtId="0" fontId="86" fillId="0" borderId="62" xfId="0" applyFont="1" applyBorder="1" applyAlignment="1">
      <alignment horizontal="center" vertical="center" wrapText="1"/>
    </xf>
    <xf numFmtId="49" fontId="36" fillId="42" borderId="36" xfId="0" applyNumberFormat="1" applyFont="1" applyFill="1" applyBorder="1" applyAlignment="1">
      <alignment horizontal="center" vertical="center" wrapText="1"/>
    </xf>
    <xf numFmtId="49" fontId="36" fillId="0" borderId="36" xfId="0" applyNumberFormat="1" applyFont="1" applyBorder="1" applyAlignment="1">
      <alignment horizontal="center" vertical="center" wrapText="1"/>
    </xf>
    <xf numFmtId="0" fontId="73" fillId="0" borderId="36" xfId="0" applyFont="1" applyBorder="1" applyAlignment="1">
      <alignment horizontal="center" vertical="center" wrapText="1"/>
    </xf>
    <xf numFmtId="0" fontId="35" fillId="33" borderId="36" xfId="0" applyFont="1" applyFill="1" applyBorder="1" applyAlignment="1">
      <alignment horizontal="left" vertical="center" wrapText="1"/>
    </xf>
    <xf numFmtId="0" fontId="86" fillId="0" borderId="36" xfId="0" applyFont="1" applyBorder="1" applyAlignment="1">
      <alignment horizontal="left" vertical="center" wrapText="1"/>
    </xf>
    <xf numFmtId="0" fontId="86" fillId="0" borderId="36" xfId="0" applyFont="1" applyBorder="1" applyAlignment="1">
      <alignment horizontal="center" vertical="center" wrapText="1"/>
    </xf>
    <xf numFmtId="0" fontId="36" fillId="37" borderId="36" xfId="0" applyFont="1" applyFill="1" applyBorder="1" applyAlignment="1">
      <alignment horizontal="left" vertical="center" wrapText="1"/>
    </xf>
    <xf numFmtId="0" fontId="44" fillId="37" borderId="36" xfId="0" applyFont="1" applyFill="1" applyBorder="1" applyAlignment="1">
      <alignment horizontal="left" vertical="center" wrapText="1"/>
    </xf>
    <xf numFmtId="0" fontId="35" fillId="0" borderId="0" xfId="0" applyFont="1" applyAlignment="1">
      <alignment vertical="center" wrapText="1"/>
    </xf>
    <xf numFmtId="3" fontId="54" fillId="42" borderId="36" xfId="0" applyNumberFormat="1" applyFont="1" applyFill="1" applyBorder="1" applyAlignment="1">
      <alignment horizontal="center" vertical="center" wrapText="1"/>
    </xf>
    <xf numFmtId="0" fontId="0" fillId="42" borderId="36" xfId="0" applyFill="1" applyBorder="1" applyAlignment="1">
      <alignment horizontal="center" vertical="center" wrapText="1"/>
    </xf>
    <xf numFmtId="3" fontId="84" fillId="0" borderId="62" xfId="0" applyNumberFormat="1" applyFont="1" applyBorder="1" applyAlignment="1">
      <alignment horizontal="center" vertical="center" wrapText="1"/>
    </xf>
    <xf numFmtId="0" fontId="87" fillId="0" borderId="4" xfId="0" applyFont="1" applyBorder="1" applyAlignment="1">
      <alignment horizontal="center" vertical="center" wrapText="1"/>
    </xf>
    <xf numFmtId="0" fontId="87" fillId="0" borderId="50" xfId="0" applyFont="1" applyBorder="1" applyAlignment="1">
      <alignment horizontal="center" vertical="center" wrapText="1"/>
    </xf>
    <xf numFmtId="0" fontId="73" fillId="0" borderId="0" xfId="0" applyFont="1" applyAlignment="1">
      <alignment vertical="center" wrapText="1"/>
    </xf>
    <xf numFmtId="0" fontId="30" fillId="24" borderId="82" xfId="0" applyFont="1" applyFill="1" applyBorder="1" applyAlignment="1">
      <alignment horizontal="center" vertical="center" wrapText="1"/>
    </xf>
    <xf numFmtId="0" fontId="30" fillId="24" borderId="19" xfId="0" applyFont="1" applyFill="1" applyBorder="1" applyAlignment="1">
      <alignment horizontal="center" vertical="center" wrapText="1"/>
    </xf>
    <xf numFmtId="0" fontId="30" fillId="24" borderId="53" xfId="0" applyFont="1" applyFill="1" applyBorder="1" applyAlignment="1">
      <alignment horizontal="center" vertical="center" wrapText="1"/>
    </xf>
    <xf numFmtId="0" fontId="30" fillId="24" borderId="20" xfId="0" applyFont="1" applyFill="1" applyBorder="1" applyAlignment="1">
      <alignment horizontal="center" vertical="center" wrapText="1"/>
    </xf>
    <xf numFmtId="165" fontId="30" fillId="24" borderId="53" xfId="261" applyNumberFormat="1" applyFont="1" applyFill="1" applyBorder="1" applyAlignment="1">
      <alignment horizontal="center" vertical="center" wrapText="1"/>
    </xf>
    <xf numFmtId="165" fontId="30" fillId="24" borderId="20" xfId="261" applyNumberFormat="1" applyFont="1" applyFill="1" applyBorder="1" applyAlignment="1">
      <alignment horizontal="center" vertical="center" wrapText="1"/>
    </xf>
    <xf numFmtId="0" fontId="30" fillId="24" borderId="36" xfId="0" applyFont="1" applyFill="1" applyBorder="1" applyAlignment="1">
      <alignment horizontal="center" vertical="center" wrapText="1"/>
    </xf>
    <xf numFmtId="0" fontId="28" fillId="0" borderId="34" xfId="0" applyFont="1" applyBorder="1" applyAlignment="1">
      <alignment horizontal="left" vertical="center" wrapText="1"/>
    </xf>
    <xf numFmtId="0" fontId="28" fillId="0" borderId="37" xfId="0" applyFont="1" applyBorder="1" applyAlignment="1">
      <alignment horizontal="left" vertical="center" wrapText="1"/>
    </xf>
    <xf numFmtId="165" fontId="30" fillId="24" borderId="14" xfId="261" applyNumberFormat="1" applyFont="1" applyFill="1" applyBorder="1" applyAlignment="1">
      <alignment horizontal="center" vertical="center" wrapText="1"/>
    </xf>
    <xf numFmtId="0" fontId="28" fillId="0" borderId="25" xfId="0" applyFont="1" applyBorder="1" applyAlignment="1">
      <alignment horizontal="left" vertical="center" wrapText="1"/>
    </xf>
    <xf numFmtId="0" fontId="28" fillId="0" borderId="40" xfId="0" applyFont="1" applyBorder="1" applyAlignment="1">
      <alignment horizontal="left" vertical="center" wrapText="1"/>
    </xf>
    <xf numFmtId="0" fontId="32" fillId="25" borderId="25" xfId="0" applyFont="1" applyFill="1" applyBorder="1" applyAlignment="1">
      <alignment horizontal="left" vertical="center" wrapText="1"/>
    </xf>
    <xf numFmtId="0" fontId="32" fillId="25" borderId="40" xfId="0" applyFont="1" applyFill="1" applyBorder="1" applyAlignment="1">
      <alignment horizontal="left" vertical="center" wrapText="1"/>
    </xf>
    <xf numFmtId="0" fontId="32" fillId="25" borderId="41" xfId="0" applyFont="1" applyFill="1" applyBorder="1" applyAlignment="1">
      <alignment horizontal="left" vertical="center" wrapText="1"/>
    </xf>
    <xf numFmtId="3" fontId="30" fillId="30" borderId="16" xfId="0" applyNumberFormat="1" applyFont="1" applyFill="1" applyBorder="1" applyAlignment="1">
      <alignment horizontal="center" vertical="center" wrapText="1"/>
    </xf>
    <xf numFmtId="3" fontId="30" fillId="30" borderId="17" xfId="0" applyNumberFormat="1" applyFont="1" applyFill="1" applyBorder="1" applyAlignment="1">
      <alignment horizontal="center" vertical="center" wrapText="1"/>
    </xf>
    <xf numFmtId="3" fontId="30" fillId="30" borderId="89" xfId="0" applyNumberFormat="1" applyFont="1" applyFill="1" applyBorder="1" applyAlignment="1">
      <alignment horizontal="center" vertical="center" wrapText="1"/>
    </xf>
    <xf numFmtId="3" fontId="30" fillId="30" borderId="90" xfId="0" applyNumberFormat="1" applyFont="1" applyFill="1" applyBorder="1" applyAlignment="1">
      <alignment horizontal="center" vertical="center" wrapText="1"/>
    </xf>
    <xf numFmtId="3" fontId="30" fillId="30" borderId="91" xfId="0" applyNumberFormat="1" applyFont="1" applyFill="1" applyBorder="1" applyAlignment="1">
      <alignment horizontal="center" vertical="center" wrapText="1"/>
    </xf>
    <xf numFmtId="3" fontId="30" fillId="30" borderId="33" xfId="0" applyNumberFormat="1" applyFont="1" applyFill="1" applyBorder="1" applyAlignment="1">
      <alignment horizontal="center" vertical="center" wrapText="1"/>
    </xf>
    <xf numFmtId="3" fontId="30" fillId="30" borderId="83" xfId="0" applyNumberFormat="1" applyFont="1" applyFill="1" applyBorder="1" applyAlignment="1">
      <alignment horizontal="center" vertical="center" wrapText="1"/>
    </xf>
    <xf numFmtId="3" fontId="30" fillId="30" borderId="92" xfId="0" applyNumberFormat="1" applyFont="1" applyFill="1" applyBorder="1" applyAlignment="1">
      <alignment horizontal="center" vertical="center" wrapText="1"/>
    </xf>
    <xf numFmtId="0" fontId="30" fillId="24" borderId="14" xfId="0" applyFont="1" applyFill="1" applyBorder="1" applyAlignment="1">
      <alignment horizontal="center" vertical="center" wrapText="1"/>
    </xf>
    <xf numFmtId="3" fontId="30" fillId="30" borderId="31" xfId="0" applyNumberFormat="1" applyFont="1" applyFill="1" applyBorder="1" applyAlignment="1">
      <alignment horizontal="center" vertical="center" wrapText="1"/>
    </xf>
    <xf numFmtId="3" fontId="30" fillId="30" borderId="51" xfId="0" applyNumberFormat="1" applyFont="1" applyFill="1" applyBorder="1" applyAlignment="1">
      <alignment horizontal="center" vertical="center" wrapText="1"/>
    </xf>
    <xf numFmtId="9" fontId="30" fillId="0" borderId="36" xfId="432" applyFont="1" applyBorder="1" applyAlignment="1">
      <alignment horizontal="center" vertical="center"/>
    </xf>
    <xf numFmtId="0" fontId="28" fillId="0" borderId="25" xfId="0" applyFont="1" applyBorder="1" applyAlignment="1">
      <alignment vertical="center" wrapText="1"/>
    </xf>
    <xf numFmtId="0" fontId="28" fillId="0" borderId="40" xfId="0" applyFont="1" applyBorder="1" applyAlignment="1">
      <alignment vertical="center" wrapText="1"/>
    </xf>
    <xf numFmtId="0" fontId="28" fillId="0" borderId="41" xfId="0" applyFont="1" applyBorder="1" applyAlignment="1">
      <alignment vertical="center" wrapText="1"/>
    </xf>
    <xf numFmtId="0" fontId="28" fillId="0" borderId="36" xfId="0" applyFont="1" applyBorder="1" applyAlignment="1">
      <alignment vertical="center" wrapText="1"/>
    </xf>
    <xf numFmtId="165" fontId="30" fillId="24" borderId="36" xfId="261" applyNumberFormat="1" applyFont="1" applyFill="1" applyBorder="1" applyAlignment="1">
      <alignment horizontal="center" vertical="center" wrapText="1"/>
    </xf>
    <xf numFmtId="0" fontId="50" fillId="24" borderId="36" xfId="0" applyFont="1" applyFill="1" applyBorder="1" applyAlignment="1">
      <alignment horizontal="center" vertical="center" wrapText="1"/>
    </xf>
    <xf numFmtId="3" fontId="30" fillId="30" borderId="36" xfId="0" applyNumberFormat="1" applyFont="1" applyFill="1" applyBorder="1" applyAlignment="1">
      <alignment horizontal="center" vertical="center" wrapText="1"/>
    </xf>
    <xf numFmtId="0" fontId="30" fillId="24" borderId="32" xfId="0" applyFont="1" applyFill="1" applyBorder="1" applyAlignment="1">
      <alignment horizontal="center" vertical="center" wrapText="1"/>
    </xf>
    <xf numFmtId="0" fontId="50" fillId="24" borderId="31" xfId="0" applyFont="1" applyFill="1" applyBorder="1" applyAlignment="1">
      <alignment horizontal="center" vertical="center" wrapText="1"/>
    </xf>
    <xf numFmtId="0" fontId="28" fillId="0" borderId="46" xfId="0" applyFont="1" applyBorder="1" applyAlignment="1">
      <alignment vertical="center" wrapText="1"/>
    </xf>
    <xf numFmtId="0" fontId="28" fillId="0" borderId="84" xfId="0" applyFont="1" applyBorder="1" applyAlignment="1">
      <alignment vertical="center" wrapText="1"/>
    </xf>
    <xf numFmtId="0" fontId="28" fillId="0" borderId="85" xfId="0" applyFont="1" applyBorder="1" applyAlignment="1">
      <alignment vertical="center" wrapText="1"/>
    </xf>
    <xf numFmtId="0" fontId="88" fillId="0" borderId="31" xfId="0" applyFont="1" applyBorder="1" applyAlignment="1">
      <alignment horizontal="left" vertical="center" wrapText="1"/>
    </xf>
    <xf numFmtId="0" fontId="88" fillId="0" borderId="36" xfId="0" applyFont="1" applyBorder="1" applyAlignment="1">
      <alignment horizontal="left" vertical="center" wrapText="1"/>
    </xf>
    <xf numFmtId="0" fontId="88" fillId="0" borderId="26" xfId="0" applyFont="1" applyBorder="1" applyAlignment="1">
      <alignment horizontal="left" vertical="center" wrapText="1"/>
    </xf>
    <xf numFmtId="0" fontId="88" fillId="0" borderId="76" xfId="0" applyFont="1" applyBorder="1" applyAlignment="1">
      <alignment horizontal="left" vertical="center" wrapText="1"/>
    </xf>
    <xf numFmtId="0" fontId="88" fillId="0" borderId="75" xfId="0" applyFont="1" applyBorder="1" applyAlignment="1">
      <alignment horizontal="left" vertical="center" wrapText="1"/>
    </xf>
    <xf numFmtId="0" fontId="88" fillId="0" borderId="59" xfId="0" applyFont="1" applyBorder="1" applyAlignment="1">
      <alignment horizontal="left" vertical="center" wrapText="1"/>
    </xf>
    <xf numFmtId="0" fontId="88" fillId="0" borderId="0" xfId="0" applyFont="1" applyAlignment="1">
      <alignment horizontal="left" vertical="center" wrapText="1"/>
    </xf>
    <xf numFmtId="0" fontId="88" fillId="0" borderId="55" xfId="0" applyFont="1" applyBorder="1" applyAlignment="1">
      <alignment horizontal="left" vertical="center" wrapText="1"/>
    </xf>
    <xf numFmtId="0" fontId="88" fillId="0" borderId="33" xfId="0" applyFont="1" applyBorder="1" applyAlignment="1">
      <alignment horizontal="left" vertical="center" wrapText="1"/>
    </xf>
    <xf numFmtId="0" fontId="88" fillId="0" borderId="83" xfId="0" applyFont="1" applyBorder="1" applyAlignment="1">
      <alignment horizontal="left" vertical="center" wrapText="1"/>
    </xf>
    <xf numFmtId="0" fontId="88" fillId="0" borderId="73" xfId="0" applyFont="1" applyBorder="1" applyAlignment="1">
      <alignment horizontal="left" vertical="center" wrapText="1"/>
    </xf>
    <xf numFmtId="0" fontId="28" fillId="0" borderId="36" xfId="0" applyFont="1" applyBorder="1" applyAlignment="1">
      <alignment horizontal="left" vertical="center" wrapText="1"/>
    </xf>
    <xf numFmtId="0" fontId="32" fillId="29" borderId="36" xfId="0" applyFont="1" applyFill="1" applyBorder="1" applyAlignment="1">
      <alignment horizontal="left" vertical="center" wrapText="1"/>
    </xf>
    <xf numFmtId="172" fontId="28" fillId="0" borderId="36" xfId="0" applyNumberFormat="1" applyFont="1" applyBorder="1" applyAlignment="1">
      <alignment horizontal="center" vertical="center"/>
    </xf>
    <xf numFmtId="0" fontId="28" fillId="0" borderId="38" xfId="0" applyFont="1" applyBorder="1" applyAlignment="1">
      <alignment horizontal="left" vertical="center" wrapText="1"/>
    </xf>
    <xf numFmtId="0" fontId="28" fillId="0" borderId="79" xfId="0" applyFont="1" applyBorder="1" applyAlignment="1">
      <alignment horizontal="left" vertical="center" wrapText="1"/>
    </xf>
    <xf numFmtId="0" fontId="28" fillId="0" borderId="74" xfId="0" applyFont="1" applyBorder="1" applyAlignment="1">
      <alignment horizontal="left" vertical="center" wrapText="1"/>
    </xf>
    <xf numFmtId="0" fontId="32" fillId="29" borderId="60" xfId="0" applyFont="1" applyFill="1" applyBorder="1" applyAlignment="1">
      <alignment horizontal="left" vertical="center" wrapText="1"/>
    </xf>
    <xf numFmtId="0" fontId="32" fillId="29" borderId="61" xfId="0" applyFont="1" applyFill="1" applyBorder="1" applyAlignment="1">
      <alignment horizontal="left" vertical="center" wrapText="1"/>
    </xf>
    <xf numFmtId="0" fontId="32" fillId="29" borderId="63" xfId="0" applyFont="1" applyFill="1" applyBorder="1" applyAlignment="1">
      <alignment horizontal="left" vertical="center" wrapText="1"/>
    </xf>
    <xf numFmtId="0" fontId="50" fillId="24" borderId="16" xfId="0" applyFont="1" applyFill="1" applyBorder="1" applyAlignment="1">
      <alignment horizontal="center" vertical="center" wrapText="1"/>
    </xf>
    <xf numFmtId="0" fontId="28" fillId="0" borderId="41" xfId="0" applyFont="1" applyBorder="1" applyAlignment="1">
      <alignment horizontal="left" vertical="center" wrapText="1"/>
    </xf>
    <xf numFmtId="0" fontId="50" fillId="24" borderId="89" xfId="0" applyFont="1" applyFill="1" applyBorder="1" applyAlignment="1">
      <alignment horizontal="center" vertical="center" wrapText="1"/>
    </xf>
    <xf numFmtId="0" fontId="50" fillId="24" borderId="90" xfId="0" applyFont="1" applyFill="1" applyBorder="1" applyAlignment="1">
      <alignment horizontal="center" vertical="center" wrapText="1"/>
    </xf>
    <xf numFmtId="0" fontId="50" fillId="24" borderId="86" xfId="0" applyFont="1" applyFill="1" applyBorder="1" applyAlignment="1">
      <alignment horizontal="center" vertical="center" wrapText="1"/>
    </xf>
    <xf numFmtId="0" fontId="50" fillId="24" borderId="33" xfId="0" applyFont="1" applyFill="1" applyBorder="1" applyAlignment="1">
      <alignment horizontal="center" vertical="center" wrapText="1"/>
    </xf>
    <xf numFmtId="0" fontId="50" fillId="24" borderId="83" xfId="0" applyFont="1" applyFill="1" applyBorder="1" applyAlignment="1">
      <alignment horizontal="center" vertical="center" wrapText="1"/>
    </xf>
    <xf numFmtId="0" fontId="50" fillId="24" borderId="73" xfId="0" applyFont="1" applyFill="1" applyBorder="1" applyAlignment="1">
      <alignment horizontal="center" vertical="center" wrapText="1"/>
    </xf>
    <xf numFmtId="0" fontId="0" fillId="0" borderId="59" xfId="0" applyBorder="1" applyAlignment="1">
      <alignment horizontal="left" vertical="center" wrapText="1"/>
    </xf>
    <xf numFmtId="0" fontId="0" fillId="0" borderId="0" xfId="0" applyAlignment="1">
      <alignment horizontal="left" vertical="center" wrapText="1"/>
    </xf>
    <xf numFmtId="0" fontId="0" fillId="0" borderId="55" xfId="0" applyBorder="1" applyAlignment="1">
      <alignment horizontal="left" vertical="center" wrapText="1"/>
    </xf>
    <xf numFmtId="0" fontId="0" fillId="0" borderId="33" xfId="0" applyBorder="1" applyAlignment="1">
      <alignment horizontal="left" vertical="center" wrapText="1"/>
    </xf>
    <xf numFmtId="0" fontId="0" fillId="0" borderId="83" xfId="0" applyBorder="1" applyAlignment="1">
      <alignment horizontal="left" vertical="center" wrapText="1"/>
    </xf>
    <xf numFmtId="0" fontId="0" fillId="0" borderId="73" xfId="0" applyBorder="1" applyAlignment="1">
      <alignment horizontal="left" vertical="center" wrapText="1"/>
    </xf>
    <xf numFmtId="0" fontId="50" fillId="24" borderId="62" xfId="0" applyFont="1" applyFill="1" applyBorder="1" applyAlignment="1">
      <alignment horizontal="center" vertical="center" wrapText="1"/>
    </xf>
    <xf numFmtId="0" fontId="50" fillId="24" borderId="50" xfId="0" applyFont="1" applyFill="1" applyBorder="1" applyAlignment="1">
      <alignment horizontal="center" vertical="center" wrapText="1"/>
    </xf>
    <xf numFmtId="3" fontId="28" fillId="0" borderId="0" xfId="0" applyNumberFormat="1" applyFont="1" applyAlignment="1">
      <alignment horizontal="center" vertical="center"/>
    </xf>
    <xf numFmtId="0" fontId="12" fillId="0" borderId="0" xfId="0" applyFont="1" applyAlignment="1">
      <alignment horizontal="center" vertical="center"/>
    </xf>
    <xf numFmtId="3" fontId="30" fillId="30" borderId="80" xfId="0" applyNumberFormat="1" applyFont="1" applyFill="1" applyBorder="1" applyAlignment="1">
      <alignment horizontal="center" vertical="center" wrapText="1"/>
    </xf>
    <xf numFmtId="3" fontId="30" fillId="30" borderId="77" xfId="0" applyNumberFormat="1" applyFont="1" applyFill="1" applyBorder="1" applyAlignment="1">
      <alignment horizontal="center" vertical="center" wrapText="1"/>
    </xf>
    <xf numFmtId="3" fontId="30" fillId="30" borderId="78" xfId="0" applyNumberFormat="1" applyFont="1" applyFill="1" applyBorder="1" applyAlignment="1">
      <alignment horizontal="center" vertical="center" wrapText="1"/>
    </xf>
    <xf numFmtId="0" fontId="50" fillId="24" borderId="80" xfId="0" applyFont="1" applyFill="1" applyBorder="1" applyAlignment="1">
      <alignment horizontal="center" vertical="center" wrapText="1"/>
    </xf>
    <xf numFmtId="0" fontId="50" fillId="24" borderId="77" xfId="0" applyFont="1" applyFill="1" applyBorder="1" applyAlignment="1">
      <alignment horizontal="center" vertical="center" wrapText="1"/>
    </xf>
    <xf numFmtId="0" fontId="50" fillId="24" borderId="81" xfId="0" applyFont="1" applyFill="1" applyBorder="1" applyAlignment="1">
      <alignment horizontal="center" vertical="center" wrapText="1"/>
    </xf>
    <xf numFmtId="3" fontId="30" fillId="30" borderId="29" xfId="0" applyNumberFormat="1" applyFont="1" applyFill="1" applyBorder="1" applyAlignment="1">
      <alignment horizontal="center" vertical="center" wrapText="1"/>
    </xf>
    <xf numFmtId="0" fontId="32" fillId="25" borderId="36" xfId="0" applyFont="1" applyFill="1" applyBorder="1" applyAlignment="1">
      <alignment horizontal="left" vertical="center" wrapText="1"/>
    </xf>
    <xf numFmtId="0" fontId="79" fillId="0" borderId="36" xfId="0" applyFont="1" applyBorder="1" applyAlignment="1">
      <alignment horizontal="justify" vertical="center" wrapText="1"/>
    </xf>
    <xf numFmtId="0" fontId="67" fillId="0" borderId="36" xfId="0" applyFont="1" applyBorder="1" applyAlignment="1">
      <alignment horizontal="left" vertical="center" wrapText="1"/>
    </xf>
    <xf numFmtId="0" fontId="30" fillId="0" borderId="36" xfId="0" applyFont="1" applyBorder="1" applyAlignment="1">
      <alignment horizontal="left" vertical="center" wrapText="1"/>
    </xf>
    <xf numFmtId="0" fontId="0" fillId="0" borderId="36" xfId="0" applyBorder="1" applyAlignment="1">
      <alignment horizontal="left" vertical="center" wrapText="1"/>
    </xf>
    <xf numFmtId="0" fontId="34" fillId="0" borderId="36" xfId="0" applyFont="1" applyBorder="1" applyAlignment="1">
      <alignment horizontal="justify" vertical="center" wrapText="1"/>
    </xf>
    <xf numFmtId="0" fontId="88" fillId="0" borderId="36" xfId="0" applyFont="1" applyBorder="1" applyAlignment="1">
      <alignment horizontal="justify" vertical="center" wrapText="1"/>
    </xf>
    <xf numFmtId="0" fontId="34" fillId="0" borderId="36" xfId="0" applyFont="1" applyBorder="1" applyAlignment="1">
      <alignment horizontal="left" vertical="center" wrapText="1"/>
    </xf>
    <xf numFmtId="0" fontId="28" fillId="0" borderId="36" xfId="0" applyFont="1" applyBorder="1" applyAlignment="1">
      <alignment horizontal="justify" vertical="center" wrapText="1"/>
    </xf>
    <xf numFmtId="0" fontId="88" fillId="33" borderId="36" xfId="0" applyFont="1" applyFill="1" applyBorder="1" applyAlignment="1">
      <alignment horizontal="justify" vertical="center"/>
    </xf>
    <xf numFmtId="4" fontId="61" fillId="24" borderId="36" xfId="0" applyNumberFormat="1" applyFont="1" applyFill="1" applyBorder="1" applyAlignment="1">
      <alignment horizontal="center" vertical="center" wrapText="1"/>
    </xf>
    <xf numFmtId="4" fontId="61" fillId="34" borderId="36" xfId="0" applyNumberFormat="1" applyFont="1" applyFill="1" applyBorder="1" applyAlignment="1">
      <alignment horizontal="center" vertical="center" wrapText="1"/>
    </xf>
    <xf numFmtId="0" fontId="30" fillId="29" borderId="36" xfId="0" applyFont="1" applyFill="1" applyBorder="1" applyAlignment="1">
      <alignment horizontal="left" vertical="center" wrapText="1"/>
    </xf>
    <xf numFmtId="0" fontId="88" fillId="0" borderId="36" xfId="0" applyFont="1" applyBorder="1" applyAlignment="1">
      <alignment horizontal="justify" vertical="center"/>
    </xf>
    <xf numFmtId="0" fontId="40" fillId="0" borderId="36" xfId="0" applyFont="1" applyBorder="1" applyAlignment="1">
      <alignment horizontal="left" vertical="center" wrapText="1"/>
    </xf>
    <xf numFmtId="0" fontId="97" fillId="0" borderId="36" xfId="0" applyFont="1" applyBorder="1" applyAlignment="1">
      <alignment horizontal="left" vertical="center" wrapText="1"/>
    </xf>
    <xf numFmtId="0" fontId="90" fillId="34" borderId="36" xfId="0" applyFont="1" applyFill="1" applyBorder="1" applyAlignment="1">
      <alignment horizontal="left" vertical="center" wrapText="1"/>
    </xf>
    <xf numFmtId="0" fontId="92" fillId="34" borderId="36" xfId="0" applyFont="1" applyFill="1" applyBorder="1" applyAlignment="1">
      <alignment vertical="center" wrapText="1"/>
    </xf>
    <xf numFmtId="49" fontId="90" fillId="0" borderId="36" xfId="0" applyNumberFormat="1" applyFont="1" applyBorder="1" applyAlignment="1">
      <alignment horizontal="center" vertical="center" wrapText="1"/>
    </xf>
    <xf numFmtId="0" fontId="90" fillId="0" borderId="36" xfId="0" applyFont="1" applyBorder="1" applyAlignment="1">
      <alignment horizontal="center" vertical="center" wrapText="1"/>
    </xf>
    <xf numFmtId="41" fontId="91" fillId="0" borderId="36" xfId="476" applyFont="1" applyFill="1" applyBorder="1" applyAlignment="1">
      <alignment horizontal="left" vertical="center" wrapText="1"/>
    </xf>
    <xf numFmtId="41" fontId="94" fillId="0" borderId="36" xfId="476" applyFont="1" applyFill="1" applyBorder="1" applyAlignment="1">
      <alignment horizontal="left" vertical="center" wrapText="1"/>
    </xf>
    <xf numFmtId="0" fontId="94" fillId="0" borderId="36" xfId="0" applyFont="1" applyBorder="1" applyAlignment="1">
      <alignment horizontal="center" vertical="center" wrapText="1"/>
    </xf>
    <xf numFmtId="0" fontId="94" fillId="0" borderId="36" xfId="0" applyFont="1" applyBorder="1" applyAlignment="1">
      <alignment horizontal="left" vertical="center" wrapText="1"/>
    </xf>
    <xf numFmtId="0" fontId="91" fillId="0" borderId="36" xfId="0" applyFont="1" applyBorder="1" applyAlignment="1">
      <alignment horizontal="center" vertical="center" wrapText="1"/>
    </xf>
    <xf numFmtId="41" fontId="90" fillId="0" borderId="36" xfId="476" applyFont="1" applyFill="1" applyBorder="1" applyAlignment="1">
      <alignment horizontal="left" vertical="center" wrapText="1"/>
    </xf>
    <xf numFmtId="0" fontId="98" fillId="0" borderId="36" xfId="0" applyFont="1" applyBorder="1" applyAlignment="1">
      <alignment horizontal="center" vertical="center" wrapText="1"/>
    </xf>
    <xf numFmtId="41" fontId="100" fillId="0" borderId="36" xfId="476" applyFont="1" applyFill="1" applyBorder="1" applyAlignment="1">
      <alignment horizontal="left" vertical="center" wrapText="1"/>
    </xf>
    <xf numFmtId="0" fontId="90" fillId="0" borderId="0" xfId="0" applyFont="1" applyAlignment="1">
      <alignment horizontal="center" vertical="center"/>
    </xf>
    <xf numFmtId="0" fontId="90" fillId="0" borderId="0" xfId="0" applyFont="1" applyAlignment="1">
      <alignment horizontal="center" vertical="center" wrapText="1"/>
    </xf>
    <xf numFmtId="49" fontId="98" fillId="0" borderId="36" xfId="0" applyNumberFormat="1" applyFont="1" applyBorder="1" applyAlignment="1">
      <alignment horizontal="center" vertical="center" wrapText="1"/>
    </xf>
    <xf numFmtId="41" fontId="99" fillId="0" borderId="36" xfId="476" applyFont="1" applyFill="1" applyBorder="1" applyAlignment="1">
      <alignment horizontal="left" vertical="center" wrapText="1"/>
    </xf>
    <xf numFmtId="0" fontId="91" fillId="0" borderId="36" xfId="0" applyFont="1" applyBorder="1" applyAlignment="1">
      <alignment horizontal="left" vertical="center" wrapText="1"/>
    </xf>
    <xf numFmtId="0" fontId="90" fillId="0" borderId="36" xfId="0" applyFont="1" applyBorder="1" applyAlignment="1">
      <alignment vertical="center" wrapText="1"/>
    </xf>
    <xf numFmtId="0" fontId="92" fillId="0" borderId="36" xfId="0" applyFont="1" applyBorder="1" applyAlignment="1">
      <alignment vertical="center" wrapText="1"/>
    </xf>
    <xf numFmtId="0" fontId="90" fillId="0" borderId="36" xfId="0" applyFont="1" applyBorder="1" applyAlignment="1">
      <alignment horizontal="left" vertical="center" wrapText="1"/>
    </xf>
    <xf numFmtId="0" fontId="93" fillId="0" borderId="36" xfId="0" applyFont="1" applyBorder="1" applyAlignment="1">
      <alignment horizontal="center" vertical="center" wrapText="1"/>
    </xf>
    <xf numFmtId="0" fontId="92" fillId="0" borderId="36" xfId="0" applyFont="1" applyBorder="1" applyAlignment="1">
      <alignment horizontal="center" vertical="center" wrapText="1"/>
    </xf>
    <xf numFmtId="0" fontId="99" fillId="0" borderId="36" xfId="0" applyFont="1" applyBorder="1" applyAlignment="1">
      <alignment horizontal="center" vertical="center" wrapText="1"/>
    </xf>
    <xf numFmtId="0" fontId="99" fillId="0" borderId="36" xfId="0" applyFont="1" applyBorder="1" applyAlignment="1">
      <alignment horizontal="left" vertical="center" wrapText="1"/>
    </xf>
    <xf numFmtId="41" fontId="98" fillId="0" borderId="36" xfId="476" applyFont="1" applyFill="1" applyBorder="1" applyAlignment="1">
      <alignment horizontal="left" vertical="center" wrapText="1"/>
    </xf>
    <xf numFmtId="0" fontId="98" fillId="0" borderId="36" xfId="0" applyFont="1" applyBorder="1" applyAlignment="1">
      <alignment horizontal="left" vertical="center" wrapText="1"/>
    </xf>
  </cellXfs>
  <cellStyles count="477">
    <cellStyle name="20% - Accent1" xfId="1" builtinId="30" customBuiltin="1"/>
    <cellStyle name="20% - Accent1 2" xfId="2"/>
    <cellStyle name="20% - Accent1 2 2" xfId="3"/>
    <cellStyle name="20% - Accent1 2 3" xfId="4"/>
    <cellStyle name="20% - Accent1 2 4" xfId="5"/>
    <cellStyle name="20% - Accent1 3" xfId="6"/>
    <cellStyle name="20% - Accent1 3 2" xfId="7"/>
    <cellStyle name="20% - Accent1 4" xfId="8"/>
    <cellStyle name="20% - Accent1 4 2" xfId="9"/>
    <cellStyle name="20% - Accent1 5" xfId="10"/>
    <cellStyle name="20% - Accent2" xfId="11" builtinId="34" customBuiltin="1"/>
    <cellStyle name="20% - Accent2 2" xfId="12"/>
    <cellStyle name="20% - Accent2 2 2" xfId="13"/>
    <cellStyle name="20% - Accent2 2 3" xfId="14"/>
    <cellStyle name="20% - Accent2 2 4" xfId="15"/>
    <cellStyle name="20% - Accent2 3" xfId="16"/>
    <cellStyle name="20% - Accent2 3 2" xfId="17"/>
    <cellStyle name="20% - Accent2 4" xfId="18"/>
    <cellStyle name="20% - Accent2 4 2" xfId="19"/>
    <cellStyle name="20% - Accent2 5" xfId="20"/>
    <cellStyle name="20% - Accent3" xfId="21" builtinId="38" customBuiltin="1"/>
    <cellStyle name="20% - Accent3 2" xfId="22"/>
    <cellStyle name="20% - Accent3 2 2" xfId="23"/>
    <cellStyle name="20% - Accent3 2 3" xfId="24"/>
    <cellStyle name="20% - Accent3 2 4" xfId="25"/>
    <cellStyle name="20% - Accent3 3" xfId="26"/>
    <cellStyle name="20% - Accent3 3 2" xfId="27"/>
    <cellStyle name="20% - Accent3 4" xfId="28"/>
    <cellStyle name="20% - Accent3 4 2" xfId="29"/>
    <cellStyle name="20% - Accent3 5" xfId="30"/>
    <cellStyle name="20% - Accent4" xfId="31" builtinId="42" customBuiltin="1"/>
    <cellStyle name="20% - Accent4 2" xfId="32"/>
    <cellStyle name="20% - Accent4 2 2" xfId="33"/>
    <cellStyle name="20% - Accent4 2 3" xfId="34"/>
    <cellStyle name="20% - Accent4 2 4" xfId="35"/>
    <cellStyle name="20% - Accent4 3" xfId="36"/>
    <cellStyle name="20% - Accent4 3 2" xfId="37"/>
    <cellStyle name="20% - Accent4 4" xfId="38"/>
    <cellStyle name="20% - Accent4 4 2" xfId="39"/>
    <cellStyle name="20% - Accent4 5" xfId="40"/>
    <cellStyle name="20% - Accent5" xfId="41" builtinId="46" customBuiltin="1"/>
    <cellStyle name="20% - Accent5 2" xfId="42"/>
    <cellStyle name="20% - Accent5 2 2" xfId="43"/>
    <cellStyle name="20% - Accent5 2 3" xfId="44"/>
    <cellStyle name="20% - Accent5 2 4" xfId="45"/>
    <cellStyle name="20% - Accent5 3" xfId="46"/>
    <cellStyle name="20% - Accent5 3 2" xfId="47"/>
    <cellStyle name="20% - Accent5 4" xfId="48"/>
    <cellStyle name="20% - Accent5 4 2" xfId="49"/>
    <cellStyle name="20% - Accent5 5" xfId="50"/>
    <cellStyle name="20% - Accent6" xfId="51" builtinId="50" customBuiltin="1"/>
    <cellStyle name="20% - Accent6 2" xfId="52"/>
    <cellStyle name="20% - Accent6 2 2" xfId="53"/>
    <cellStyle name="20% - Accent6 2 3" xfId="54"/>
    <cellStyle name="20% - Accent6 2 4" xfId="55"/>
    <cellStyle name="20% - Accent6 3" xfId="56"/>
    <cellStyle name="20% - Accent6 3 2" xfId="57"/>
    <cellStyle name="20% - Accent6 4" xfId="58"/>
    <cellStyle name="20% - Accent6 4 2" xfId="59"/>
    <cellStyle name="20% - Accent6 5" xfId="60"/>
    <cellStyle name="40% - Accent1" xfId="61" builtinId="31" customBuiltin="1"/>
    <cellStyle name="40% - Accent1 2" xfId="62"/>
    <cellStyle name="40% - Accent1 2 2" xfId="63"/>
    <cellStyle name="40% - Accent1 2 3" xfId="64"/>
    <cellStyle name="40% - Accent1 2 4" xfId="65"/>
    <cellStyle name="40% - Accent1 3" xfId="66"/>
    <cellStyle name="40% - Accent1 3 2" xfId="67"/>
    <cellStyle name="40% - Accent1 4" xfId="68"/>
    <cellStyle name="40% - Accent1 4 2" xfId="69"/>
    <cellStyle name="40% - Accent1 5" xfId="70"/>
    <cellStyle name="40% - Accent2" xfId="71" builtinId="35" customBuiltin="1"/>
    <cellStyle name="40% - Accent2 2" xfId="72"/>
    <cellStyle name="40% - Accent2 2 2" xfId="73"/>
    <cellStyle name="40% - Accent2 2 3" xfId="74"/>
    <cellStyle name="40% - Accent2 2 4" xfId="75"/>
    <cellStyle name="40% - Accent2 3" xfId="76"/>
    <cellStyle name="40% - Accent2 3 2" xfId="77"/>
    <cellStyle name="40% - Accent2 4" xfId="78"/>
    <cellStyle name="40% - Accent2 4 2" xfId="79"/>
    <cellStyle name="40% - Accent2 5" xfId="80"/>
    <cellStyle name="40% - Accent3" xfId="81" builtinId="39" customBuiltin="1"/>
    <cellStyle name="40% - Accent3 2" xfId="82"/>
    <cellStyle name="40% - Accent3 2 2" xfId="83"/>
    <cellStyle name="40% - Accent3 2 3" xfId="84"/>
    <cellStyle name="40% - Accent3 2 4" xfId="85"/>
    <cellStyle name="40% - Accent3 3" xfId="86"/>
    <cellStyle name="40% - Accent3 3 2" xfId="87"/>
    <cellStyle name="40% - Accent3 4" xfId="88"/>
    <cellStyle name="40% - Accent3 4 2" xfId="89"/>
    <cellStyle name="40% - Accent3 5" xfId="90"/>
    <cellStyle name="40% - Accent4" xfId="91" builtinId="43" customBuiltin="1"/>
    <cellStyle name="40% - Accent4 2" xfId="92"/>
    <cellStyle name="40% - Accent4 2 2" xfId="93"/>
    <cellStyle name="40% - Accent4 2 3" xfId="94"/>
    <cellStyle name="40% - Accent4 2 4" xfId="95"/>
    <cellStyle name="40% - Accent4 3" xfId="96"/>
    <cellStyle name="40% - Accent4 3 2" xfId="97"/>
    <cellStyle name="40% - Accent4 4" xfId="98"/>
    <cellStyle name="40% - Accent4 4 2" xfId="99"/>
    <cellStyle name="40% - Accent4 5" xfId="100"/>
    <cellStyle name="40% - Accent5" xfId="101" builtinId="47" customBuiltin="1"/>
    <cellStyle name="40% - Accent5 2" xfId="102"/>
    <cellStyle name="40% - Accent5 2 2" xfId="103"/>
    <cellStyle name="40% - Accent5 2 3" xfId="104"/>
    <cellStyle name="40% - Accent5 2 4" xfId="105"/>
    <cellStyle name="40% - Accent5 3" xfId="106"/>
    <cellStyle name="40% - Accent5 3 2" xfId="107"/>
    <cellStyle name="40% - Accent5 4" xfId="108"/>
    <cellStyle name="40% - Accent5 4 2" xfId="109"/>
    <cellStyle name="40% - Accent5 5" xfId="110"/>
    <cellStyle name="40% - Accent6" xfId="111" builtinId="51" customBuiltin="1"/>
    <cellStyle name="40% - Accent6 2" xfId="112"/>
    <cellStyle name="40% - Accent6 2 2" xfId="113"/>
    <cellStyle name="40% - Accent6 2 3" xfId="114"/>
    <cellStyle name="40% - Accent6 2 4" xfId="115"/>
    <cellStyle name="40% - Accent6 3" xfId="116"/>
    <cellStyle name="40% - Accent6 3 2" xfId="117"/>
    <cellStyle name="40% - Accent6 4" xfId="118"/>
    <cellStyle name="40% - Accent6 4 2" xfId="119"/>
    <cellStyle name="40% - Accent6 5" xfId="120"/>
    <cellStyle name="60% - Accent1" xfId="121" builtinId="32" customBuiltin="1"/>
    <cellStyle name="60% - Accent1 2" xfId="122"/>
    <cellStyle name="60% - Accent1 2 2" xfId="123"/>
    <cellStyle name="60% - Accent1 2 3" xfId="124"/>
    <cellStyle name="60% - Accent1 2 4" xfId="125"/>
    <cellStyle name="60% - Accent1 3" xfId="126"/>
    <cellStyle name="60% - Accent1 3 2" xfId="127"/>
    <cellStyle name="60% - Accent1 4" xfId="128"/>
    <cellStyle name="60% - Accent1 4 2" xfId="129"/>
    <cellStyle name="60% - Accent1 5" xfId="130"/>
    <cellStyle name="60% - Accent2" xfId="131" builtinId="36" customBuiltin="1"/>
    <cellStyle name="60% - Accent2 2" xfId="132"/>
    <cellStyle name="60% - Accent2 2 2" xfId="133"/>
    <cellStyle name="60% - Accent2 2 3" xfId="134"/>
    <cellStyle name="60% - Accent2 2 4" xfId="135"/>
    <cellStyle name="60% - Accent2 3" xfId="136"/>
    <cellStyle name="60% - Accent2 3 2" xfId="137"/>
    <cellStyle name="60% - Accent2 4" xfId="138"/>
    <cellStyle name="60% - Accent2 4 2" xfId="139"/>
    <cellStyle name="60% - Accent2 5" xfId="140"/>
    <cellStyle name="60% - Accent3" xfId="141" builtinId="40" customBuiltin="1"/>
    <cellStyle name="60% - Accent3 2" xfId="142"/>
    <cellStyle name="60% - Accent3 2 2" xfId="143"/>
    <cellStyle name="60% - Accent3 2 3" xfId="144"/>
    <cellStyle name="60% - Accent3 2 4" xfId="145"/>
    <cellStyle name="60% - Accent3 3" xfId="146"/>
    <cellStyle name="60% - Accent3 3 2" xfId="147"/>
    <cellStyle name="60% - Accent3 4" xfId="148"/>
    <cellStyle name="60% - Accent3 4 2" xfId="149"/>
    <cellStyle name="60% - Accent3 5" xfId="150"/>
    <cellStyle name="60% - Accent4" xfId="151" builtinId="44" customBuiltin="1"/>
    <cellStyle name="60% - Accent4 2" xfId="152"/>
    <cellStyle name="60% - Accent4 2 2" xfId="153"/>
    <cellStyle name="60% - Accent4 2 3" xfId="154"/>
    <cellStyle name="60% - Accent4 2 4" xfId="155"/>
    <cellStyle name="60% - Accent4 3" xfId="156"/>
    <cellStyle name="60% - Accent4 3 2" xfId="157"/>
    <cellStyle name="60% - Accent4 4" xfId="158"/>
    <cellStyle name="60% - Accent4 4 2" xfId="159"/>
    <cellStyle name="60% - Accent4 5" xfId="160"/>
    <cellStyle name="60% - Accent5" xfId="161" builtinId="48" customBuiltin="1"/>
    <cellStyle name="60% - Accent5 2" xfId="162"/>
    <cellStyle name="60% - Accent5 2 2" xfId="163"/>
    <cellStyle name="60% - Accent5 2 3" xfId="164"/>
    <cellStyle name="60% - Accent5 2 4" xfId="165"/>
    <cellStyle name="60% - Accent5 3" xfId="166"/>
    <cellStyle name="60% - Accent5 3 2" xfId="167"/>
    <cellStyle name="60% - Accent5 4" xfId="168"/>
    <cellStyle name="60% - Accent5 4 2" xfId="169"/>
    <cellStyle name="60% - Accent5 5" xfId="170"/>
    <cellStyle name="60% - Accent6" xfId="171" builtinId="52" customBuiltin="1"/>
    <cellStyle name="60% - Accent6 2" xfId="172"/>
    <cellStyle name="60% - Accent6 2 2" xfId="173"/>
    <cellStyle name="60% - Accent6 2 3" xfId="174"/>
    <cellStyle name="60% - Accent6 2 4" xfId="175"/>
    <cellStyle name="60% - Accent6 3" xfId="176"/>
    <cellStyle name="60% - Accent6 3 2" xfId="177"/>
    <cellStyle name="60% - Accent6 4" xfId="178"/>
    <cellStyle name="60% - Accent6 4 2" xfId="179"/>
    <cellStyle name="60% - Accent6 5" xfId="180"/>
    <cellStyle name="Accent1" xfId="181" builtinId="29" customBuiltin="1"/>
    <cellStyle name="Accent1 2" xfId="182"/>
    <cellStyle name="Accent1 2 2" xfId="183"/>
    <cellStyle name="Accent1 2 3" xfId="184"/>
    <cellStyle name="Accent1 2 4" xfId="185"/>
    <cellStyle name="Accent1 3" xfId="186"/>
    <cellStyle name="Accent1 3 2" xfId="187"/>
    <cellStyle name="Accent1 4" xfId="188"/>
    <cellStyle name="Accent1 4 2" xfId="189"/>
    <cellStyle name="Accent1 5" xfId="190"/>
    <cellStyle name="Accent2" xfId="191" builtinId="33" customBuiltin="1"/>
    <cellStyle name="Accent2 2" xfId="192"/>
    <cellStyle name="Accent2 2 2" xfId="193"/>
    <cellStyle name="Accent2 2 3" xfId="194"/>
    <cellStyle name="Accent2 2 4" xfId="195"/>
    <cellStyle name="Accent2 3" xfId="196"/>
    <cellStyle name="Accent2 3 2" xfId="197"/>
    <cellStyle name="Accent2 4" xfId="198"/>
    <cellStyle name="Accent2 4 2" xfId="199"/>
    <cellStyle name="Accent2 5" xfId="200"/>
    <cellStyle name="Accent3" xfId="201" builtinId="37" customBuiltin="1"/>
    <cellStyle name="Accent3 2" xfId="202"/>
    <cellStyle name="Accent3 2 2" xfId="203"/>
    <cellStyle name="Accent3 2 3" xfId="204"/>
    <cellStyle name="Accent3 2 4" xfId="205"/>
    <cellStyle name="Accent3 3" xfId="206"/>
    <cellStyle name="Accent3 3 2" xfId="207"/>
    <cellStyle name="Accent3 4" xfId="208"/>
    <cellStyle name="Accent3 4 2" xfId="209"/>
    <cellStyle name="Accent3 5" xfId="210"/>
    <cellStyle name="Accent4" xfId="211" builtinId="41" customBuiltin="1"/>
    <cellStyle name="Accent4 2" xfId="212"/>
    <cellStyle name="Accent4 2 2" xfId="213"/>
    <cellStyle name="Accent4 2 3" xfId="214"/>
    <cellStyle name="Accent4 2 4" xfId="215"/>
    <cellStyle name="Accent4 3" xfId="216"/>
    <cellStyle name="Accent4 3 2" xfId="217"/>
    <cellStyle name="Accent4 4" xfId="218"/>
    <cellStyle name="Accent4 4 2" xfId="219"/>
    <cellStyle name="Accent4 5" xfId="220"/>
    <cellStyle name="Accent5" xfId="221" builtinId="45" customBuiltin="1"/>
    <cellStyle name="Accent5 2" xfId="222"/>
    <cellStyle name="Accent5 2 2" xfId="223"/>
    <cellStyle name="Accent5 2 3" xfId="224"/>
    <cellStyle name="Accent5 2 4" xfId="225"/>
    <cellStyle name="Accent5 3" xfId="226"/>
    <cellStyle name="Accent5 3 2" xfId="227"/>
    <cellStyle name="Accent5 4" xfId="228"/>
    <cellStyle name="Accent5 4 2" xfId="229"/>
    <cellStyle name="Accent5 5" xfId="230"/>
    <cellStyle name="Accent6" xfId="231" builtinId="49" customBuiltin="1"/>
    <cellStyle name="Accent6 2" xfId="232"/>
    <cellStyle name="Accent6 2 2" xfId="233"/>
    <cellStyle name="Accent6 2 3" xfId="234"/>
    <cellStyle name="Accent6 2 4" xfId="235"/>
    <cellStyle name="Accent6 3" xfId="236"/>
    <cellStyle name="Accent6 3 2" xfId="237"/>
    <cellStyle name="Accent6 4" xfId="238"/>
    <cellStyle name="Accent6 4 2" xfId="239"/>
    <cellStyle name="Accent6 5" xfId="240"/>
    <cellStyle name="Bad" xfId="241" builtinId="27" customBuiltin="1"/>
    <cellStyle name="Bad 2" xfId="242"/>
    <cellStyle name="Bad 2 2" xfId="243"/>
    <cellStyle name="Bad 2 3" xfId="244"/>
    <cellStyle name="Bad 2 4" xfId="245"/>
    <cellStyle name="Bad 3" xfId="246"/>
    <cellStyle name="Bad 3 2" xfId="247"/>
    <cellStyle name="Bad 4" xfId="248"/>
    <cellStyle name="Bad 4 2" xfId="249"/>
    <cellStyle name="Bad 5" xfId="250"/>
    <cellStyle name="Calculation" xfId="251" builtinId="22" customBuiltin="1"/>
    <cellStyle name="Calculation 2" xfId="252"/>
    <cellStyle name="Calculation 2 2" xfId="253"/>
    <cellStyle name="Calculation 2 3" xfId="254"/>
    <cellStyle name="Calculation 2 4" xfId="255"/>
    <cellStyle name="Calculation 3" xfId="256"/>
    <cellStyle name="Calculation 3 2" xfId="257"/>
    <cellStyle name="Calculation 4" xfId="258"/>
    <cellStyle name="Calculation 4 2" xfId="259"/>
    <cellStyle name="Calculation 5" xfId="260"/>
    <cellStyle name="Check Cell" xfId="280" builtinId="23" customBuiltin="1"/>
    <cellStyle name="Check Cell 2" xfId="281"/>
    <cellStyle name="Check Cell 2 2" xfId="282"/>
    <cellStyle name="Check Cell 2 3" xfId="283"/>
    <cellStyle name="Check Cell 2 4" xfId="284"/>
    <cellStyle name="Check Cell 3" xfId="285"/>
    <cellStyle name="Check Cell 3 2" xfId="286"/>
    <cellStyle name="Check Cell 4" xfId="287"/>
    <cellStyle name="Check Cell 4 2" xfId="288"/>
    <cellStyle name="Check Cell 5" xfId="289"/>
    <cellStyle name="Comma" xfId="261" builtinId="3"/>
    <cellStyle name="Comma [0]" xfId="476" builtinId="6"/>
    <cellStyle name="Comma 2" xfId="262"/>
    <cellStyle name="Comma 2 10" xfId="263"/>
    <cellStyle name="Comma 2 2" xfId="264"/>
    <cellStyle name="Comma 2 3" xfId="265"/>
    <cellStyle name="Comma 2 4" xfId="266"/>
    <cellStyle name="Comma 2 5" xfId="267"/>
    <cellStyle name="Comma 2 6" xfId="268"/>
    <cellStyle name="Comma 2 7" xfId="269"/>
    <cellStyle name="Comma 2 8" xfId="270"/>
    <cellStyle name="Comma 3" xfId="271"/>
    <cellStyle name="Comma 3 2" xfId="272"/>
    <cellStyle name="Comma 3 3" xfId="273"/>
    <cellStyle name="Comma 3 4" xfId="274"/>
    <cellStyle name="Comma 5" xfId="275"/>
    <cellStyle name="Comma 5 2" xfId="276"/>
    <cellStyle name="Comma 7" xfId="277"/>
    <cellStyle name="Comma0" xfId="278"/>
    <cellStyle name="Currency0" xfId="279"/>
    <cellStyle name="Date" xfId="290"/>
    <cellStyle name="Explanatory Text" xfId="291" builtinId="53" customBuiltin="1"/>
    <cellStyle name="Explanatory Text 2" xfId="292"/>
    <cellStyle name="Explanatory Text 2 2" xfId="293"/>
    <cellStyle name="Explanatory Text 2 3" xfId="294"/>
    <cellStyle name="Explanatory Text 2 4" xfId="295"/>
    <cellStyle name="Explanatory Text 3" xfId="296"/>
    <cellStyle name="Explanatory Text 3 2" xfId="297"/>
    <cellStyle name="Explanatory Text 4" xfId="298"/>
    <cellStyle name="Explanatory Text 4 2" xfId="299"/>
    <cellStyle name="Explanatory Text 5" xfId="300"/>
    <cellStyle name="Fixed" xfId="301"/>
    <cellStyle name="Good" xfId="302" builtinId="26" customBuiltin="1"/>
    <cellStyle name="Good 2" xfId="303"/>
    <cellStyle name="Good 2 2" xfId="304"/>
    <cellStyle name="Good 2 3" xfId="305"/>
    <cellStyle name="Good 2 4" xfId="306"/>
    <cellStyle name="Good 3" xfId="307"/>
    <cellStyle name="Good 3 2" xfId="308"/>
    <cellStyle name="Good 4" xfId="309"/>
    <cellStyle name="Good 4 2" xfId="310"/>
    <cellStyle name="Good 5" xfId="311"/>
    <cellStyle name="Header1" xfId="312"/>
    <cellStyle name="Header2" xfId="313"/>
    <cellStyle name="Heading 1" xfId="314" builtinId="16" customBuiltin="1"/>
    <cellStyle name="Heading 1 2" xfId="315"/>
    <cellStyle name="Heading 1 2 2" xfId="316"/>
    <cellStyle name="Heading 1 2 3" xfId="317"/>
    <cellStyle name="Heading 1 2 4" xfId="318"/>
    <cellStyle name="Heading 1 3" xfId="319"/>
    <cellStyle name="Heading 1 3 2" xfId="320"/>
    <cellStyle name="Heading 1 4" xfId="321"/>
    <cellStyle name="Heading 1 4 2" xfId="322"/>
    <cellStyle name="Heading 1 5" xfId="323"/>
    <cellStyle name="Heading 2" xfId="324" builtinId="17" customBuiltin="1"/>
    <cellStyle name="Heading 2 2" xfId="325"/>
    <cellStyle name="Heading 2 2 2" xfId="326"/>
    <cellStyle name="Heading 2 2 3" xfId="327"/>
    <cellStyle name="Heading 2 2 4" xfId="328"/>
    <cellStyle name="Heading 2 3" xfId="329"/>
    <cellStyle name="Heading 2 3 2" xfId="330"/>
    <cellStyle name="Heading 2 4" xfId="331"/>
    <cellStyle name="Heading 2 4 2" xfId="332"/>
    <cellStyle name="Heading 2 5" xfId="333"/>
    <cellStyle name="Heading 3" xfId="334" builtinId="18" customBuiltin="1"/>
    <cellStyle name="Heading 3 2" xfId="335"/>
    <cellStyle name="Heading 3 2 2" xfId="336"/>
    <cellStyle name="Heading 3 2 3" xfId="337"/>
    <cellStyle name="Heading 3 2 4" xfId="338"/>
    <cellStyle name="Heading 3 3" xfId="339"/>
    <cellStyle name="Heading 3 3 2" xfId="340"/>
    <cellStyle name="Heading 3 4" xfId="341"/>
    <cellStyle name="Heading 3 4 2" xfId="342"/>
    <cellStyle name="Heading 3 5" xfId="343"/>
    <cellStyle name="Heading 4" xfId="344" builtinId="19" customBuiltin="1"/>
    <cellStyle name="Heading 4 2" xfId="345"/>
    <cellStyle name="Heading 4 2 2" xfId="346"/>
    <cellStyle name="Heading 4 2 3" xfId="347"/>
    <cellStyle name="Heading 4 2 4" xfId="348"/>
    <cellStyle name="Heading 4 3" xfId="349"/>
    <cellStyle name="Heading 4 3 2" xfId="350"/>
    <cellStyle name="Heading 4 4" xfId="351"/>
    <cellStyle name="Heading 4 4 2" xfId="352"/>
    <cellStyle name="Heading 4 5" xfId="353"/>
    <cellStyle name="Input" xfId="354" builtinId="20" customBuiltin="1"/>
    <cellStyle name="Input 2" xfId="355"/>
    <cellStyle name="Input 2 2" xfId="356"/>
    <cellStyle name="Input 2 3" xfId="357"/>
    <cellStyle name="Input 2 4" xfId="358"/>
    <cellStyle name="Input 3" xfId="359"/>
    <cellStyle name="Input 3 2" xfId="360"/>
    <cellStyle name="Input 4" xfId="361"/>
    <cellStyle name="Input 4 2" xfId="362"/>
    <cellStyle name="Input 5" xfId="363"/>
    <cellStyle name="Linked Cell" xfId="364" builtinId="24" customBuiltin="1"/>
    <cellStyle name="Linked Cell 2" xfId="365"/>
    <cellStyle name="Linked Cell 2 2" xfId="366"/>
    <cellStyle name="Linked Cell 2 3" xfId="367"/>
    <cellStyle name="Linked Cell 2 4" xfId="368"/>
    <cellStyle name="Linked Cell 3" xfId="369"/>
    <cellStyle name="Linked Cell 3 2" xfId="370"/>
    <cellStyle name="Linked Cell 4" xfId="371"/>
    <cellStyle name="Linked Cell 4 2" xfId="372"/>
    <cellStyle name="Linked Cell 5" xfId="373"/>
    <cellStyle name="Neutral" xfId="374" builtinId="28" customBuiltin="1"/>
    <cellStyle name="Neutral 2" xfId="375"/>
    <cellStyle name="Neutral 2 2" xfId="376"/>
    <cellStyle name="Neutral 2 3" xfId="377"/>
    <cellStyle name="Neutral 2 4" xfId="378"/>
    <cellStyle name="Neutral 3" xfId="379"/>
    <cellStyle name="Neutral 3 2" xfId="380"/>
    <cellStyle name="Neutral 4" xfId="381"/>
    <cellStyle name="Neutral 4 2" xfId="382"/>
    <cellStyle name="Neutral 5" xfId="383"/>
    <cellStyle name="Normal" xfId="0" builtinId="0"/>
    <cellStyle name="Normal 2" xfId="384"/>
    <cellStyle name="Normal 2 2" xfId="385"/>
    <cellStyle name="Normal 2 2 2" xfId="386"/>
    <cellStyle name="Normal 2 2 3" xfId="387"/>
    <cellStyle name="Normal 2 2 4" xfId="388"/>
    <cellStyle name="Normal 2 3" xfId="389"/>
    <cellStyle name="Normal 2 4" xfId="390"/>
    <cellStyle name="Normal 2 4 2" xfId="391"/>
    <cellStyle name="Normal 2 4 2 2" xfId="392"/>
    <cellStyle name="Normal 2 4 2 2 2" xfId="393"/>
    <cellStyle name="Normal 2 4 3" xfId="394"/>
    <cellStyle name="Normal 2 5" xfId="395"/>
    <cellStyle name="Normal 2 6" xfId="396"/>
    <cellStyle name="Normal 2 7" xfId="397"/>
    <cellStyle name="Normal 2 7 2" xfId="398"/>
    <cellStyle name="Normal 2 8" xfId="399"/>
    <cellStyle name="Normal 3" xfId="475"/>
    <cellStyle name="Normal 3 2" xfId="400"/>
    <cellStyle name="Normal 3 3" xfId="401"/>
    <cellStyle name="Normal 3 4" xfId="402"/>
    <cellStyle name="Normal 5" xfId="403"/>
    <cellStyle name="Normal 5 2" xfId="404"/>
    <cellStyle name="Normal 6" xfId="405"/>
    <cellStyle name="Normal 6 2" xfId="406"/>
    <cellStyle name="Normal 7 2" xfId="407"/>
    <cellStyle name="Normal 8" xfId="408"/>
    <cellStyle name="Normal_A" xfId="409"/>
    <cellStyle name="Normal_DG Tinh lai theo DM 4_10_08  (co du phan TB)" xfId="410"/>
    <cellStyle name="Normal_Sheet1" xfId="411"/>
    <cellStyle name="Note" xfId="412" builtinId="10" customBuiltin="1"/>
    <cellStyle name="Note 2" xfId="413"/>
    <cellStyle name="Note 2 2" xfId="414"/>
    <cellStyle name="Note 2 3" xfId="415"/>
    <cellStyle name="Note 2 4" xfId="416"/>
    <cellStyle name="Note 3" xfId="417"/>
    <cellStyle name="Note 3 2" xfId="418"/>
    <cellStyle name="Note 4" xfId="419"/>
    <cellStyle name="Note 4 2" xfId="420"/>
    <cellStyle name="Note 5" xfId="421"/>
    <cellStyle name="Output" xfId="422" builtinId="21" customBuiltin="1"/>
    <cellStyle name="Output 2" xfId="423"/>
    <cellStyle name="Output 2 2" xfId="424"/>
    <cellStyle name="Output 2 3" xfId="425"/>
    <cellStyle name="Output 2 4" xfId="426"/>
    <cellStyle name="Output 3" xfId="427"/>
    <cellStyle name="Output 3 2" xfId="428"/>
    <cellStyle name="Output 4" xfId="429"/>
    <cellStyle name="Output 4 2" xfId="430"/>
    <cellStyle name="Output 5" xfId="431"/>
    <cellStyle name="Percent" xfId="432" builtinId="5"/>
    <cellStyle name="sodangoai" xfId="433"/>
    <cellStyle name="Title" xfId="434" builtinId="15" customBuiltin="1"/>
    <cellStyle name="Title 2" xfId="435"/>
    <cellStyle name="Title 2 2" xfId="436"/>
    <cellStyle name="Title 2 3" xfId="437"/>
    <cellStyle name="Title 2 4" xfId="438"/>
    <cellStyle name="Title 3" xfId="439"/>
    <cellStyle name="Title 3 2" xfId="440"/>
    <cellStyle name="Title 4" xfId="441"/>
    <cellStyle name="Title 4 2" xfId="442"/>
    <cellStyle name="Title 5" xfId="443"/>
    <cellStyle name="Total" xfId="444" builtinId="25" customBuiltin="1"/>
    <cellStyle name="Total 2" xfId="445"/>
    <cellStyle name="Total 2 2" xfId="446"/>
    <cellStyle name="Total 2 3" xfId="447"/>
    <cellStyle name="Total 2 4" xfId="448"/>
    <cellStyle name="Total 3" xfId="449"/>
    <cellStyle name="Total 3 2" xfId="450"/>
    <cellStyle name="Total 4" xfId="451"/>
    <cellStyle name="Total 4 2" xfId="452"/>
    <cellStyle name="Total 5" xfId="453"/>
    <cellStyle name="Warning Text" xfId="454" builtinId="11" customBuiltin="1"/>
    <cellStyle name="Warning Text 2" xfId="455"/>
    <cellStyle name="Warning Text 2 2" xfId="456"/>
    <cellStyle name="Warning Text 2 3" xfId="457"/>
    <cellStyle name="Warning Text 2 4" xfId="458"/>
    <cellStyle name="Warning Text 3" xfId="459"/>
    <cellStyle name="Warning Text 3 2" xfId="460"/>
    <cellStyle name="Warning Text 4" xfId="461"/>
    <cellStyle name="Warning Text 4 2" xfId="462"/>
    <cellStyle name="Warning Text 5" xfId="463"/>
    <cellStyle name="똿뗦먛귟 [0.00]_PRODUCT DETAIL Q1" xfId="464"/>
    <cellStyle name="똿뗦먛귟_PRODUCT DETAIL Q1" xfId="465"/>
    <cellStyle name="믅됞 [0.00]_PRODUCT DETAIL Q1" xfId="466"/>
    <cellStyle name="믅됞_PRODUCT DETAIL Q1" xfId="467"/>
    <cellStyle name="백분율_HOBONG" xfId="468"/>
    <cellStyle name="뷭?_BOOKSHIP" xfId="469"/>
    <cellStyle name="콤마 [0]_1202" xfId="470"/>
    <cellStyle name="콤마_1202" xfId="471"/>
    <cellStyle name="통화 [0]_1202" xfId="472"/>
    <cellStyle name="통화_1202" xfId="473"/>
    <cellStyle name="표준_(정보부문)월별인원계획" xfId="4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20Precision%207750\Desktop\Tien-Giang-2025\2026\Don%20gia%20do%20dac%20cap%20giay\Giai%20trinh%20don%20gia%20do%20dac\3.1.%20Phu%20luc%20I.%20Don%20Gia%20do%20dac-%2008.1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V"/>
      <sheetName val="HeSoKK"/>
      <sheetName val="L_CBac"/>
      <sheetName val="L_CViec"/>
      <sheetName val="NhanCong"/>
      <sheetName val="Dcu"/>
      <sheetName val="TBi"/>
      <sheetName val="VLieu"/>
      <sheetName val="DGSP_DayDu"/>
      <sheetName val="DGSP_RutGon"/>
      <sheetName val="GiaVL"/>
      <sheetName val="Chung-thu"/>
      <sheetName val="00000000"/>
      <sheetName val="10000000"/>
      <sheetName val="20000000"/>
    </sheetNames>
    <sheetDataSet>
      <sheetData sheetId="0" refreshError="1"/>
      <sheetData sheetId="1" refreshError="1"/>
      <sheetData sheetId="2" refreshError="1">
        <row r="94">
          <cell r="J94">
            <v>5310000</v>
          </cell>
        </row>
        <row r="95">
          <cell r="J95">
            <v>4730000</v>
          </cell>
        </row>
        <row r="96">
          <cell r="J96">
            <v>4140000</v>
          </cell>
        </row>
        <row r="98">
          <cell r="J98">
            <v>3700000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Q737"/>
  <sheetViews>
    <sheetView showZeros="0" tabSelected="1" zoomScale="150" zoomScaleNormal="150" workbookViewId="0">
      <pane xSplit="3" ySplit="6" topLeftCell="D7" activePane="bottomRight" state="frozen"/>
      <selection pane="topRight" activeCell="E1" sqref="E1"/>
      <selection pane="bottomLeft" activeCell="A7" sqref="A7"/>
      <selection pane="bottomRight" activeCell="Q9" sqref="Q9"/>
    </sheetView>
  </sheetViews>
  <sheetFormatPr defaultColWidth="9" defaultRowHeight="7"/>
  <cols>
    <col min="1" max="1" width="5.84375" style="814" bestFit="1" customWidth="1"/>
    <col min="2" max="2" width="39.69140625" style="768" customWidth="1"/>
    <col min="3" max="3" width="4.53515625" style="814" bestFit="1" customWidth="1"/>
    <col min="4" max="4" width="3.4609375" style="814" bestFit="1" customWidth="1"/>
    <col min="5" max="5" width="7.4609375" style="768" bestFit="1" customWidth="1"/>
    <col min="6" max="6" width="6.23046875" style="768" bestFit="1" customWidth="1"/>
    <col min="7" max="7" width="5.53515625" style="768" bestFit="1" customWidth="1"/>
    <col min="8" max="8" width="5.765625" style="768" bestFit="1" customWidth="1"/>
    <col min="9" max="9" width="5.07421875" style="768" bestFit="1" customWidth="1"/>
    <col min="10" max="10" width="5.765625" style="768" bestFit="1" customWidth="1"/>
    <col min="11" max="11" width="6.23046875" style="768" customWidth="1"/>
    <col min="12" max="12" width="6.53515625" style="768" bestFit="1" customWidth="1"/>
    <col min="13" max="13" width="6.3046875" style="768" customWidth="1"/>
    <col min="14" max="14" width="6.53515625" style="768" customWidth="1"/>
    <col min="15" max="15" width="5.53515625" style="768" bestFit="1" customWidth="1"/>
    <col min="16" max="16" width="6.3046875" style="768" customWidth="1"/>
    <col min="17" max="17" width="6.3046875" style="768" bestFit="1" customWidth="1"/>
    <col min="18" max="16384" width="9" style="768"/>
  </cols>
  <sheetData>
    <row r="1" spans="1:17" ht="24.75" customHeight="1">
      <c r="A1" s="1093" t="s">
        <v>657</v>
      </c>
      <c r="B1" s="1093"/>
      <c r="C1" s="1093"/>
      <c r="D1" s="1093"/>
      <c r="E1" s="1093"/>
      <c r="F1" s="1093"/>
      <c r="G1" s="1093"/>
      <c r="H1" s="1093"/>
      <c r="I1" s="1093"/>
      <c r="J1" s="1093"/>
      <c r="K1" s="1093"/>
      <c r="L1" s="1093"/>
      <c r="M1" s="1093"/>
      <c r="N1" s="1093"/>
      <c r="O1" s="1093"/>
      <c r="P1" s="1093"/>
      <c r="Q1" s="1093"/>
    </row>
    <row r="2" spans="1:17" s="770" customFormat="1">
      <c r="A2" s="1094"/>
      <c r="B2" s="1094"/>
      <c r="C2" s="1094"/>
      <c r="D2" s="1094"/>
      <c r="E2" s="1094"/>
      <c r="F2" s="1094"/>
      <c r="G2" s="1094"/>
      <c r="H2" s="1094"/>
      <c r="I2" s="1094"/>
      <c r="J2" s="1094"/>
      <c r="K2" s="1094"/>
      <c r="L2" s="1094"/>
      <c r="M2" s="1094"/>
      <c r="N2" s="1094"/>
      <c r="O2" s="1094"/>
      <c r="P2" s="1094"/>
      <c r="Q2" s="1094"/>
    </row>
    <row r="3" spans="1:17">
      <c r="A3" s="1084" t="s">
        <v>28</v>
      </c>
      <c r="B3" s="1084" t="s">
        <v>15</v>
      </c>
      <c r="C3" s="1084" t="s">
        <v>38</v>
      </c>
      <c r="D3" s="1084" t="s">
        <v>434</v>
      </c>
      <c r="E3" s="1084" t="s">
        <v>7</v>
      </c>
      <c r="F3" s="1084" t="s">
        <v>8</v>
      </c>
      <c r="G3" s="1084" t="s">
        <v>9</v>
      </c>
      <c r="H3" s="1084" t="s">
        <v>10</v>
      </c>
      <c r="I3" s="1084" t="s">
        <v>422</v>
      </c>
      <c r="J3" s="1084" t="s">
        <v>421</v>
      </c>
      <c r="K3" s="1084" t="s">
        <v>706</v>
      </c>
      <c r="L3" s="1102"/>
      <c r="M3" s="1102"/>
      <c r="N3" s="1084" t="s">
        <v>707</v>
      </c>
      <c r="O3" s="1102"/>
      <c r="P3" s="1102"/>
      <c r="Q3" s="1084" t="s">
        <v>26</v>
      </c>
    </row>
    <row r="4" spans="1:17" s="769" customFormat="1" ht="12.75" customHeight="1">
      <c r="A4" s="1101"/>
      <c r="B4" s="1101"/>
      <c r="C4" s="1101"/>
      <c r="D4" s="1101"/>
      <c r="E4" s="1101"/>
      <c r="F4" s="1101"/>
      <c r="G4" s="1101"/>
      <c r="H4" s="1101"/>
      <c r="I4" s="1101"/>
      <c r="J4" s="1101"/>
      <c r="K4" s="1084" t="s">
        <v>11</v>
      </c>
      <c r="L4" s="1084" t="s">
        <v>12</v>
      </c>
      <c r="M4" s="1084" t="s">
        <v>775</v>
      </c>
      <c r="N4" s="1084" t="s">
        <v>11</v>
      </c>
      <c r="O4" s="1084" t="s">
        <v>12</v>
      </c>
      <c r="P4" s="1084" t="s">
        <v>13</v>
      </c>
      <c r="Q4" s="1101"/>
    </row>
    <row r="5" spans="1:17" s="769" customFormat="1">
      <c r="A5" s="1101"/>
      <c r="B5" s="1101"/>
      <c r="C5" s="1101"/>
      <c r="D5" s="1101"/>
      <c r="E5" s="1101"/>
      <c r="F5" s="1101"/>
      <c r="G5" s="1101"/>
      <c r="H5" s="1101"/>
      <c r="I5" s="1101"/>
      <c r="J5" s="1101"/>
      <c r="K5" s="1084"/>
      <c r="L5" s="1084" t="s">
        <v>6</v>
      </c>
      <c r="M5" s="1084"/>
      <c r="N5" s="1084"/>
      <c r="O5" s="1084" t="s">
        <v>6</v>
      </c>
      <c r="P5" s="1084"/>
      <c r="Q5" s="1101"/>
    </row>
    <row r="6" spans="1:17" s="769" customFormat="1">
      <c r="A6" s="1101"/>
      <c r="B6" s="1101"/>
      <c r="C6" s="1101"/>
      <c r="D6" s="1101"/>
      <c r="E6" s="1101"/>
      <c r="F6" s="1101"/>
      <c r="G6" s="1101"/>
      <c r="H6" s="1101"/>
      <c r="I6" s="1101"/>
      <c r="J6" s="1101"/>
      <c r="K6" s="1084"/>
      <c r="L6" s="772">
        <v>0.15</v>
      </c>
      <c r="M6" s="1084"/>
      <c r="N6" s="1084"/>
      <c r="O6" s="772">
        <v>0.15</v>
      </c>
      <c r="P6" s="1084"/>
      <c r="Q6" s="771">
        <f>L_CBac!K4</f>
        <v>0.1</v>
      </c>
    </row>
    <row r="7" spans="1:17" s="769" customFormat="1" ht="15" customHeight="1">
      <c r="A7" s="773" t="s">
        <v>25</v>
      </c>
      <c r="B7" s="1100" t="str">
        <f>NCong!B5</f>
        <v>Đăng ký, cấp Giấy chứng nhận lần đầu đồng loạt đối hộ gia đình, cá nhân, cộng đồng dân cư, tổ chức sử dụng đất, người gốc Việt Nam định cư ở nước ngoài tại địa bàn xã, phường, đặc khu</v>
      </c>
      <c r="C7" s="1099"/>
      <c r="D7" s="1099"/>
      <c r="E7" s="1099"/>
      <c r="F7" s="1099"/>
      <c r="G7" s="1099"/>
      <c r="H7" s="1099"/>
      <c r="I7" s="1099"/>
      <c r="J7" s="1099"/>
      <c r="K7" s="1099"/>
      <c r="L7" s="1099"/>
      <c r="M7" s="1099"/>
      <c r="N7" s="1099"/>
      <c r="O7" s="1099"/>
      <c r="P7" s="1099"/>
      <c r="Q7" s="771"/>
    </row>
    <row r="8" spans="1:17" s="769" customFormat="1" ht="12" customHeight="1">
      <c r="A8" s="773" t="s">
        <v>19</v>
      </c>
      <c r="B8" s="774" t="s">
        <v>810</v>
      </c>
      <c r="C8" s="775"/>
      <c r="D8" s="775"/>
      <c r="E8" s="775"/>
      <c r="F8" s="775"/>
      <c r="G8" s="775"/>
      <c r="H8" s="775"/>
      <c r="I8" s="775"/>
      <c r="J8" s="775"/>
      <c r="K8" s="775"/>
      <c r="L8" s="775"/>
      <c r="M8" s="775"/>
      <c r="N8" s="775"/>
      <c r="O8" s="775"/>
      <c r="P8" s="775"/>
      <c r="Q8" s="771"/>
    </row>
    <row r="9" spans="1:17" s="770" customFormat="1">
      <c r="A9" s="1083" t="s">
        <v>122</v>
      </c>
      <c r="B9" s="1085" t="s">
        <v>697</v>
      </c>
      <c r="C9" s="1084" t="s">
        <v>51</v>
      </c>
      <c r="D9" s="773">
        <v>1</v>
      </c>
      <c r="E9" s="776">
        <f>NCong!I6+NCong!I95</f>
        <v>789028.34071875003</v>
      </c>
      <c r="F9" s="776">
        <f>F54+F$57</f>
        <v>38155.082750000001</v>
      </c>
      <c r="G9" s="776">
        <f>Dcu!J27+Dcu!L27</f>
        <v>10357.982819940811</v>
      </c>
      <c r="H9" s="776">
        <f t="shared" ref="H9:J11" si="0">H54+H$57</f>
        <v>65056</v>
      </c>
      <c r="I9" s="776">
        <f t="shared" si="0"/>
        <v>8906.7829285714288</v>
      </c>
      <c r="J9" s="776">
        <f t="shared" si="0"/>
        <v>10962.4935</v>
      </c>
      <c r="K9" s="776">
        <f>SUM(E9:J9)</f>
        <v>922466.68271726219</v>
      </c>
      <c r="L9" s="776">
        <f>$L$6*K9</f>
        <v>138370.00240758932</v>
      </c>
      <c r="M9" s="776">
        <f>K9+L9</f>
        <v>1060836.6851248515</v>
      </c>
      <c r="N9" s="776">
        <f>K9-I9</f>
        <v>913559.89978869073</v>
      </c>
      <c r="O9" s="776">
        <f>$L$6*N9</f>
        <v>137033.98496830362</v>
      </c>
      <c r="P9" s="776">
        <f>N9+O9</f>
        <v>1050593.8847569944</v>
      </c>
      <c r="Q9" s="776">
        <f>Q54+Q$57</f>
        <v>23370.388461538456</v>
      </c>
    </row>
    <row r="10" spans="1:17" s="770" customFormat="1">
      <c r="A10" s="1084"/>
      <c r="B10" s="1085"/>
      <c r="C10" s="1084"/>
      <c r="D10" s="773">
        <v>2</v>
      </c>
      <c r="E10" s="776">
        <f>NCong!I8+NCong!I95</f>
        <v>845637.97621875012</v>
      </c>
      <c r="F10" s="776">
        <f>F55+F$57</f>
        <v>45718.032749999998</v>
      </c>
      <c r="G10" s="776">
        <f>Dcu!J28+Dcu!L28</f>
        <v>11415.553102878202</v>
      </c>
      <c r="H10" s="776">
        <f t="shared" si="0"/>
        <v>65056</v>
      </c>
      <c r="I10" s="776">
        <f t="shared" si="0"/>
        <v>8906.7829285714288</v>
      </c>
      <c r="J10" s="776">
        <f t="shared" si="0"/>
        <v>10962.4935</v>
      </c>
      <c r="K10" s="776">
        <f>SUM(E10:J10)</f>
        <v>987696.83850019972</v>
      </c>
      <c r="L10" s="776">
        <f>$L$6*K10</f>
        <v>148154.52577502996</v>
      </c>
      <c r="M10" s="776">
        <f>K10+L10</f>
        <v>1135851.3642752296</v>
      </c>
      <c r="N10" s="776">
        <f t="shared" ref="N10:N57" si="1">K10-I10</f>
        <v>978790.05557162827</v>
      </c>
      <c r="O10" s="776">
        <f t="shared" ref="O10:O57" si="2">$L$6*N10</f>
        <v>146818.50833574423</v>
      </c>
      <c r="P10" s="776">
        <f t="shared" ref="P10:P57" si="3">N10+O10</f>
        <v>1125608.5639073725</v>
      </c>
      <c r="Q10" s="776">
        <f t="shared" ref="Q10:Q11" si="4">Q55+Q$57</f>
        <v>25160.849999999995</v>
      </c>
    </row>
    <row r="11" spans="1:17" s="770" customFormat="1">
      <c r="A11" s="1084"/>
      <c r="B11" s="1085"/>
      <c r="C11" s="1084"/>
      <c r="D11" s="773">
        <v>3</v>
      </c>
      <c r="E11" s="776">
        <f>NCong!I10+NCong!I95</f>
        <v>912219.73321875022</v>
      </c>
      <c r="F11" s="776">
        <f>F56+F$57</f>
        <v>54793.572749999999</v>
      </c>
      <c r="G11" s="776">
        <f>Dcu!J29+Dcu!L29</f>
        <v>12473.123385815597</v>
      </c>
      <c r="H11" s="776">
        <f t="shared" si="0"/>
        <v>65056</v>
      </c>
      <c r="I11" s="776">
        <f t="shared" si="0"/>
        <v>8906.7829285714288</v>
      </c>
      <c r="J11" s="776">
        <f t="shared" si="0"/>
        <v>10962.4935</v>
      </c>
      <c r="K11" s="776">
        <f>SUM(E11:J11)</f>
        <v>1064411.7057831374</v>
      </c>
      <c r="L11" s="776">
        <f>$L$6*K11</f>
        <v>159661.75586747061</v>
      </c>
      <c r="M11" s="776">
        <f>K11+L11</f>
        <v>1224073.4616506079</v>
      </c>
      <c r="N11" s="776">
        <f t="shared" si="1"/>
        <v>1055504.922854566</v>
      </c>
      <c r="O11" s="776">
        <f t="shared" si="2"/>
        <v>158325.73842818491</v>
      </c>
      <c r="P11" s="776">
        <f t="shared" si="3"/>
        <v>1213830.661282751</v>
      </c>
      <c r="Q11" s="776">
        <f t="shared" si="4"/>
        <v>27262.696153846147</v>
      </c>
    </row>
    <row r="12" spans="1:17" s="770" customFormat="1">
      <c r="A12" s="1083" t="s">
        <v>572</v>
      </c>
      <c r="B12" s="1085" t="s">
        <v>698</v>
      </c>
      <c r="C12" s="1084" t="s">
        <v>51</v>
      </c>
      <c r="D12" s="773">
        <v>1</v>
      </c>
      <c r="E12" s="776">
        <f>E9*1.6</f>
        <v>1262445.3451500002</v>
      </c>
      <c r="F12" s="776">
        <f t="shared" ref="F12:Q12" si="5">F9*1.6</f>
        <v>61048.132400000002</v>
      </c>
      <c r="G12" s="776">
        <f t="shared" si="5"/>
        <v>16572.772511905299</v>
      </c>
      <c r="H12" s="776">
        <f>H9</f>
        <v>65056</v>
      </c>
      <c r="I12" s="776">
        <f t="shared" si="5"/>
        <v>14250.852685714286</v>
      </c>
      <c r="J12" s="776">
        <f t="shared" si="5"/>
        <v>17539.989600000001</v>
      </c>
      <c r="K12" s="776">
        <f t="shared" si="5"/>
        <v>1475946.6923476197</v>
      </c>
      <c r="L12" s="776">
        <f t="shared" si="5"/>
        <v>221392.00385214292</v>
      </c>
      <c r="M12" s="776">
        <f t="shared" si="5"/>
        <v>1697338.6961997626</v>
      </c>
      <c r="N12" s="776">
        <f t="shared" si="1"/>
        <v>1461695.8396619053</v>
      </c>
      <c r="O12" s="776">
        <f>$L$6*N12</f>
        <v>219254.37594928578</v>
      </c>
      <c r="P12" s="776">
        <f t="shared" si="3"/>
        <v>1680950.215611191</v>
      </c>
      <c r="Q12" s="776">
        <f t="shared" si="5"/>
        <v>37392.621538461528</v>
      </c>
    </row>
    <row r="13" spans="1:17" s="770" customFormat="1">
      <c r="A13" s="1084"/>
      <c r="B13" s="1085"/>
      <c r="C13" s="1084"/>
      <c r="D13" s="773">
        <v>2</v>
      </c>
      <c r="E13" s="776">
        <f t="shared" ref="E13:M14" si="6">E10*1.6</f>
        <v>1353020.7619500002</v>
      </c>
      <c r="F13" s="776">
        <f t="shared" si="6"/>
        <v>73148.852400000003</v>
      </c>
      <c r="G13" s="776">
        <f t="shared" si="6"/>
        <v>18264.884964605124</v>
      </c>
      <c r="H13" s="776">
        <f t="shared" ref="H13:H14" si="7">H10</f>
        <v>65056</v>
      </c>
      <c r="I13" s="776">
        <f t="shared" si="6"/>
        <v>14250.852685714286</v>
      </c>
      <c r="J13" s="776">
        <f t="shared" si="6"/>
        <v>17539.989600000001</v>
      </c>
      <c r="K13" s="776">
        <f t="shared" si="6"/>
        <v>1580314.9416003197</v>
      </c>
      <c r="L13" s="776">
        <f t="shared" si="6"/>
        <v>237047.24124004797</v>
      </c>
      <c r="M13" s="776">
        <f t="shared" si="6"/>
        <v>1817362.1828403675</v>
      </c>
      <c r="N13" s="776">
        <f t="shared" si="1"/>
        <v>1566064.0889146053</v>
      </c>
      <c r="O13" s="776">
        <f t="shared" si="2"/>
        <v>234909.61333719079</v>
      </c>
      <c r="P13" s="776">
        <f t="shared" si="3"/>
        <v>1800973.7022517961</v>
      </c>
      <c r="Q13" s="776">
        <f t="shared" ref="Q13" si="8">Q10*1.6</f>
        <v>40257.359999999993</v>
      </c>
    </row>
    <row r="14" spans="1:17" s="770" customFormat="1">
      <c r="A14" s="1084"/>
      <c r="B14" s="1085"/>
      <c r="C14" s="1084"/>
      <c r="D14" s="773">
        <v>3</v>
      </c>
      <c r="E14" s="776">
        <f t="shared" si="6"/>
        <v>1459551.5731500005</v>
      </c>
      <c r="F14" s="776">
        <f t="shared" si="6"/>
        <v>87669.716400000005</v>
      </c>
      <c r="G14" s="776">
        <f t="shared" si="6"/>
        <v>19956.997417304956</v>
      </c>
      <c r="H14" s="776">
        <f t="shared" si="7"/>
        <v>65056</v>
      </c>
      <c r="I14" s="776">
        <f t="shared" si="6"/>
        <v>14250.852685714286</v>
      </c>
      <c r="J14" s="776">
        <f t="shared" si="6"/>
        <v>17539.989600000001</v>
      </c>
      <c r="K14" s="776">
        <f t="shared" si="6"/>
        <v>1703058.7292530199</v>
      </c>
      <c r="L14" s="776">
        <f t="shared" si="6"/>
        <v>255458.80938795299</v>
      </c>
      <c r="M14" s="776">
        <f t="shared" si="6"/>
        <v>1958517.5386409727</v>
      </c>
      <c r="N14" s="776">
        <f t="shared" si="1"/>
        <v>1688807.8765673055</v>
      </c>
      <c r="O14" s="776">
        <f t="shared" si="2"/>
        <v>253321.18148509582</v>
      </c>
      <c r="P14" s="776">
        <f t="shared" si="3"/>
        <v>1942129.0580524013</v>
      </c>
      <c r="Q14" s="776">
        <f t="shared" ref="Q14" si="9">Q11*1.6</f>
        <v>43620.31384615384</v>
      </c>
    </row>
    <row r="15" spans="1:17" s="770" customFormat="1">
      <c r="A15" s="1083" t="s">
        <v>123</v>
      </c>
      <c r="B15" s="1085" t="s">
        <v>699</v>
      </c>
      <c r="C15" s="1084" t="s">
        <v>51</v>
      </c>
      <c r="D15" s="773">
        <v>1</v>
      </c>
      <c r="E15" s="776">
        <f>0.3*(NCong!I40+NCong!I41+NCong!I44+NCong!I45+NCong!I47+NCong!I49+NCong!I62+NCong!I65+NCong!I66+NCong!I69+NCong!I71+NCong!I72+NCong!I74+NCong!I78+NCong!I79+NCong!I80+NCong!I85+NCong!I89+NCong!I90+NCong!I91+NCong!I94+NCong!I96+NCong!I99)</f>
        <v>202013.306735625</v>
      </c>
      <c r="F15" s="776">
        <f>0.3*NCong!I50</f>
        <v>11344.424999999999</v>
      </c>
      <c r="G15" s="776">
        <f>Dcu!J37+Dcu!L37</f>
        <v>2149.8877932051287</v>
      </c>
      <c r="H15" s="776">
        <f>H9*0.5</f>
        <v>32528</v>
      </c>
      <c r="I15" s="776">
        <f>I9*0.5</f>
        <v>4453.3914642857144</v>
      </c>
      <c r="J15" s="776">
        <f>J9*0.5</f>
        <v>5481.2467500000002</v>
      </c>
      <c r="K15" s="776">
        <f>SUM(E15:J15)</f>
        <v>257970.25774311583</v>
      </c>
      <c r="L15" s="776">
        <f>$L$6*K15</f>
        <v>38695.53866146737</v>
      </c>
      <c r="M15" s="776">
        <f>K15+L15</f>
        <v>296665.79640458321</v>
      </c>
      <c r="N15" s="776">
        <f t="shared" si="1"/>
        <v>253516.8662788301</v>
      </c>
      <c r="O15" s="776">
        <f t="shared" si="2"/>
        <v>38027.529941824512</v>
      </c>
      <c r="P15" s="776">
        <f t="shared" si="3"/>
        <v>291544.3962206546</v>
      </c>
      <c r="Q15" s="776">
        <f>0.3*(NCong!J40+NCong!J41+NCong!J44+NCong!J45+NCong!J47+NCong!J49+NCong!J62+NCong!J65+NCong!J66+NCong!J69+NCong!J71+NCong!J72+NCong!J74+NCong!J78+NCong!J79+NCong!J80+NCong!J85+NCong!J89+NCong!J90+NCong!J91+NCong!J94+NCong!J96+NCong!J99)</f>
        <v>5986.1746153846152</v>
      </c>
    </row>
    <row r="16" spans="1:17" s="770" customFormat="1">
      <c r="A16" s="1084"/>
      <c r="B16" s="1085"/>
      <c r="C16" s="1084"/>
      <c r="D16" s="773">
        <v>2</v>
      </c>
      <c r="E16" s="776">
        <f>0.3*(NCong!I40+NCong!I41+NCong!I44+NCong!I45+NCong!I47+NCong!I51+NCong!I62+NCong!I65+NCong!I66+NCong!I69+NCong!I71+NCong!I72+NCong!I74+NCong!I78+NCong!I79+NCong!I80+NCong!I85+NCong!I89+NCong!I90+NCong!I91+NCong!I94+NCong!I96+NCong!I99)</f>
        <v>218658.74598562499</v>
      </c>
      <c r="F16" s="776">
        <f>0.3*NCong!I52</f>
        <v>13613.31</v>
      </c>
      <c r="G16" s="776">
        <f>Dcu!J38+Dcu!L38</f>
        <v>2360.7692055555558</v>
      </c>
      <c r="H16" s="776">
        <f t="shared" ref="H16:J17" si="10">H10*0.5</f>
        <v>32528</v>
      </c>
      <c r="I16" s="776">
        <f t="shared" si="10"/>
        <v>4453.3914642857144</v>
      </c>
      <c r="J16" s="776">
        <f t="shared" si="10"/>
        <v>5481.2467500000002</v>
      </c>
      <c r="K16" s="776">
        <f t="shared" ref="K16:K17" si="11">SUM(E16:J16)</f>
        <v>277095.46340546629</v>
      </c>
      <c r="L16" s="776">
        <f t="shared" ref="L16:L17" si="12">$L$6*K16</f>
        <v>41564.319510819943</v>
      </c>
      <c r="M16" s="776">
        <f t="shared" ref="M16:M17" si="13">K16+L16</f>
        <v>318659.78291628626</v>
      </c>
      <c r="N16" s="776">
        <f t="shared" si="1"/>
        <v>272642.07194118056</v>
      </c>
      <c r="O16" s="776">
        <f t="shared" si="2"/>
        <v>40896.310791177086</v>
      </c>
      <c r="P16" s="776">
        <f t="shared" si="3"/>
        <v>313538.38273235766</v>
      </c>
      <c r="Q16" s="776">
        <f>0.3*(NCong!J40+NCong!J41+NCong!J44+NCong!J45+NCong!J47+NCong!J51+NCong!J62+NCong!J65+NCong!J66+NCong!J69+NCong!J71+NCong!J72+NCong!J74+NCong!J78+NCong!J79+NCong!J80+NCong!J85+NCong!J89+NCong!J90+NCong!J91+NCong!J94+NCong!J96+NCong!J99)</f>
        <v>6511.6361538461524</v>
      </c>
    </row>
    <row r="17" spans="1:17" s="770" customFormat="1">
      <c r="A17" s="1084"/>
      <c r="B17" s="1085"/>
      <c r="C17" s="1084"/>
      <c r="D17" s="773">
        <v>3</v>
      </c>
      <c r="E17" s="776">
        <f>0.3*(NCong!I40+NCong!I41+NCong!I44+NCong!I45+NCong!I47+NCong!I53+NCong!I62+NCong!I65+NCong!I66+NCong!I69+NCong!I71+NCong!I72+NCong!I74+NCong!I78+NCong!I79+NCong!I80+NCong!I85+NCong!I89+NCong!I90+NCong!I91+NCong!I94+NCong!I96+NCong!I99)</f>
        <v>238633.273085625</v>
      </c>
      <c r="F17" s="776">
        <f>0.3*NCong!I54</f>
        <v>16335.971999999998</v>
      </c>
      <c r="G17" s="776">
        <f>Dcu!J39+Dcu!L39</f>
        <v>2571.6506179059834</v>
      </c>
      <c r="H17" s="776">
        <f t="shared" si="10"/>
        <v>32528</v>
      </c>
      <c r="I17" s="776">
        <f t="shared" si="10"/>
        <v>4453.3914642857144</v>
      </c>
      <c r="J17" s="776">
        <f t="shared" si="10"/>
        <v>5481.2467500000002</v>
      </c>
      <c r="K17" s="776">
        <f t="shared" si="11"/>
        <v>300003.53391781671</v>
      </c>
      <c r="L17" s="776">
        <f t="shared" si="12"/>
        <v>45000.530087672501</v>
      </c>
      <c r="M17" s="776">
        <f t="shared" si="13"/>
        <v>345004.06400548923</v>
      </c>
      <c r="N17" s="776">
        <f t="shared" si="1"/>
        <v>295550.14245353098</v>
      </c>
      <c r="O17" s="776">
        <f t="shared" si="2"/>
        <v>44332.521368029644</v>
      </c>
      <c r="P17" s="776">
        <f t="shared" si="3"/>
        <v>339882.66382156062</v>
      </c>
      <c r="Q17" s="776">
        <f>0.3*(NCong!J40+NCong!J41+NCong!J44+NCong!J45+NCong!J47+NCong!J53+NCong!J62+NCong!J65+NCong!J66+NCong!J69+NCong!J71+NCong!J72+NCong!J74+NCong!J78+NCong!J79+NCong!J80+NCong!J85+NCong!J89+NCong!J90+NCong!J91+NCong!J94+NCong!J96+NCong!J99)</f>
        <v>7142.19</v>
      </c>
    </row>
    <row r="18" spans="1:17" s="770" customFormat="1">
      <c r="A18" s="1083" t="s">
        <v>703</v>
      </c>
      <c r="B18" s="1085" t="s">
        <v>702</v>
      </c>
      <c r="C18" s="1084" t="s">
        <v>51</v>
      </c>
      <c r="D18" s="773">
        <v>1</v>
      </c>
      <c r="E18" s="776">
        <f>(NCong!I30+NCong!I40+NCong!I41+NCong!I44+NCong!I45+NCong!I47+NCong!I49+NCong!I62+NCong!I65+NCong!I69+NCong!I72+NCong!I96+NCong!I99+NCong!I102)</f>
        <v>483543.25036874996</v>
      </c>
      <c r="F18" s="776">
        <f>F9</f>
        <v>38155.082750000001</v>
      </c>
      <c r="G18" s="776">
        <f>Dcu!J31+Dcu!L31</f>
        <v>5164.7569146367523</v>
      </c>
      <c r="H18" s="776">
        <f>H9*0.5</f>
        <v>32528</v>
      </c>
      <c r="I18" s="776">
        <f>Tbi!I28+Tbi!I29</f>
        <v>4453.3914642857144</v>
      </c>
      <c r="J18" s="776">
        <f>J9*0.5</f>
        <v>5481.2467500000002</v>
      </c>
      <c r="K18" s="776">
        <f>SUM(E18:J18)</f>
        <v>569325.72824767244</v>
      </c>
      <c r="L18" s="776">
        <f>$L$6*K18</f>
        <v>85398.859237150857</v>
      </c>
      <c r="M18" s="776">
        <f>K18+L18</f>
        <v>654724.58748482331</v>
      </c>
      <c r="N18" s="776">
        <f t="shared" si="1"/>
        <v>564872.33678338677</v>
      </c>
      <c r="O18" s="776">
        <f t="shared" si="2"/>
        <v>84730.850517508006</v>
      </c>
      <c r="P18" s="776">
        <f t="shared" si="3"/>
        <v>649603.18730089476</v>
      </c>
      <c r="Q18" s="776">
        <f>(NCong!J30+NCong!J40+NCong!J41+NCong!J44+NCong!J45+NCong!J47+NCong!J49+NCong!J62+NCong!J65+NCong!J69+NCong!J72+NCong!J96+NCong!J99+NCong!J102)</f>
        <v>14782.01153846154</v>
      </c>
    </row>
    <row r="19" spans="1:17" s="770" customFormat="1">
      <c r="A19" s="1084"/>
      <c r="B19" s="1085"/>
      <c r="C19" s="1084"/>
      <c r="D19" s="773">
        <v>2</v>
      </c>
      <c r="E19" s="776">
        <f>(NCong!I30+NCong!I40+NCong!I41+NCong!I44+NCong!I45+NCong!I47+NCong!I51+NCong!I62+NCong!I65+NCong!I69+NCong!I72+NCong!I96+NCong!I99+NCong!I102)</f>
        <v>539028.04786875017</v>
      </c>
      <c r="F19" s="776">
        <f t="shared" ref="F19:F20" si="14">F10</f>
        <v>45718.032749999998</v>
      </c>
      <c r="G19" s="776">
        <f>Dcu!J32+Dcu!L32</f>
        <v>5691.9604455128201</v>
      </c>
      <c r="H19" s="776">
        <f t="shared" ref="H19:H20" si="15">H10*0.5</f>
        <v>32528</v>
      </c>
      <c r="I19" s="776">
        <f>Tbi!I28+Tbi!I29</f>
        <v>4453.3914642857144</v>
      </c>
      <c r="J19" s="776">
        <f t="shared" ref="J19:J20" si="16">J10*0.5</f>
        <v>5481.2467500000002</v>
      </c>
      <c r="K19" s="776">
        <f t="shared" ref="K19:K20" si="17">SUM(E19:J19)</f>
        <v>632900.67927854869</v>
      </c>
      <c r="L19" s="776">
        <f t="shared" ref="L19:L20" si="18">$L$6*K19</f>
        <v>94935.101891782295</v>
      </c>
      <c r="M19" s="776">
        <f t="shared" ref="M19:M20" si="19">K19+L19</f>
        <v>727835.78117033094</v>
      </c>
      <c r="N19" s="776">
        <f t="shared" si="1"/>
        <v>628447.28781426302</v>
      </c>
      <c r="O19" s="776">
        <f t="shared" si="2"/>
        <v>94267.093172139445</v>
      </c>
      <c r="P19" s="776">
        <f t="shared" si="3"/>
        <v>722714.38098640251</v>
      </c>
      <c r="Q19" s="776">
        <f>(NCong!J30+NCong!J40+NCong!J41+NCong!J44+NCong!J45+NCong!J47+NCong!J51+NCong!J62+NCong!J65+NCong!J69+NCong!J72+NCong!J96+NCong!J99+NCong!J102)</f>
        <v>16533.55</v>
      </c>
    </row>
    <row r="20" spans="1:17" s="770" customFormat="1">
      <c r="A20" s="1084"/>
      <c r="B20" s="1085"/>
      <c r="C20" s="1084"/>
      <c r="D20" s="773">
        <v>3</v>
      </c>
      <c r="E20" s="776">
        <f>(NCong!I30+NCong!I40+NCong!I41+NCong!I44+NCong!I45+NCong!I47+NCong!I53+NCong!I62+NCong!I65+NCong!I69+NCong!I72+NCong!I96+NCong!I99+NCong!I102)</f>
        <v>605609.80486875004</v>
      </c>
      <c r="F20" s="776">
        <f t="shared" si="14"/>
        <v>54793.572749999999</v>
      </c>
      <c r="G20" s="776">
        <f>Dcu!J33+Dcu!L33</f>
        <v>6219.1639763888888</v>
      </c>
      <c r="H20" s="776">
        <f t="shared" si="15"/>
        <v>32528</v>
      </c>
      <c r="I20" s="776">
        <f>Tbi!I28+Tbi!I29</f>
        <v>4453.3914642857144</v>
      </c>
      <c r="J20" s="776">
        <f t="shared" si="16"/>
        <v>5481.2467500000002</v>
      </c>
      <c r="K20" s="776">
        <f t="shared" si="17"/>
        <v>709085.17980942468</v>
      </c>
      <c r="L20" s="776">
        <f t="shared" si="18"/>
        <v>106362.7769714137</v>
      </c>
      <c r="M20" s="776">
        <f t="shared" si="19"/>
        <v>815447.95678083831</v>
      </c>
      <c r="N20" s="776">
        <f t="shared" si="1"/>
        <v>704631.78834513901</v>
      </c>
      <c r="O20" s="776">
        <f t="shared" si="2"/>
        <v>105694.76825177085</v>
      </c>
      <c r="P20" s="776">
        <f t="shared" si="3"/>
        <v>810326.55659690988</v>
      </c>
      <c r="Q20" s="776">
        <f>(NCong!J30+NCong!J40+NCong!J41+NCong!J44+NCong!J45+NCong!J47+NCong!J53+NCong!J62+NCong!J65+NCong!J69+NCong!J72+NCong!J96+NCong!J99+NCong!J102)</f>
        <v>18635.396153846155</v>
      </c>
    </row>
    <row r="21" spans="1:17" s="770" customFormat="1">
      <c r="A21" s="1083" t="s">
        <v>705</v>
      </c>
      <c r="B21" s="1085" t="s">
        <v>704</v>
      </c>
      <c r="C21" s="1084" t="s">
        <v>51</v>
      </c>
      <c r="D21" s="773">
        <v>1</v>
      </c>
      <c r="E21" s="776">
        <f>NCong!I40+NCong!I49+NCong!I66+NCong!I74+NCong!I78+NCong!I79+NCong!I80+NCong!I85+NCong!I89+NCong!I90+NCong!I91+NCong!I94+NCong!I95</f>
        <v>577364.83426875004</v>
      </c>
      <c r="F21" s="776">
        <f>F18</f>
        <v>38155.082750000001</v>
      </c>
      <c r="G21" s="776">
        <f>G9*0.9</f>
        <v>9322.1845379467304</v>
      </c>
      <c r="H21" s="776">
        <f t="shared" ref="H21:J21" si="20">H9*0.9</f>
        <v>58550.400000000001</v>
      </c>
      <c r="I21" s="776">
        <f t="shared" si="20"/>
        <v>8016.1046357142859</v>
      </c>
      <c r="J21" s="776">
        <f t="shared" si="20"/>
        <v>9866.2441500000004</v>
      </c>
      <c r="K21" s="776">
        <f>SUM(E21:J21)</f>
        <v>701274.85034241108</v>
      </c>
      <c r="L21" s="776">
        <f>$L$6*K21</f>
        <v>105191.22755136166</v>
      </c>
      <c r="M21" s="776">
        <f>K21+L21</f>
        <v>806466.07789377274</v>
      </c>
      <c r="N21" s="776">
        <f t="shared" si="1"/>
        <v>693258.74570669676</v>
      </c>
      <c r="O21" s="776">
        <f t="shared" si="2"/>
        <v>103988.81185600451</v>
      </c>
      <c r="P21" s="776">
        <f t="shared" si="3"/>
        <v>797247.55756270129</v>
      </c>
      <c r="Q21" s="776">
        <f>NCong!J40+NCong!J49+NCong!J66+NCong!J74+NCong!J78+NCong!J79+NCong!J80+NCong!J85+NCong!J89+NCong!J90+NCong!J91+NCong!J94+NCong!J95</f>
        <v>17108.63846153846</v>
      </c>
    </row>
    <row r="22" spans="1:17" s="770" customFormat="1">
      <c r="A22" s="1084"/>
      <c r="B22" s="1085"/>
      <c r="C22" s="1084"/>
      <c r="D22" s="773">
        <v>2</v>
      </c>
      <c r="E22" s="776">
        <f>NCong!I40+NCong!I51+NCong!I66+NCong!I74+NCong!I78+NCong!I79+NCong!I80+NCong!I85+NCong!I89+NCong!I90+NCong!I91+NCong!I94+NCong!I95</f>
        <v>632849.63176875003</v>
      </c>
      <c r="F22" s="776">
        <f t="shared" ref="F22:F23" si="21">F19</f>
        <v>45718.032749999998</v>
      </c>
      <c r="G22" s="776">
        <f t="shared" ref="G22:J22" si="22">G10*0.9</f>
        <v>10273.997792590382</v>
      </c>
      <c r="H22" s="776">
        <f t="shared" si="22"/>
        <v>58550.400000000001</v>
      </c>
      <c r="I22" s="776">
        <f t="shared" si="22"/>
        <v>8016.1046357142859</v>
      </c>
      <c r="J22" s="776">
        <f t="shared" si="22"/>
        <v>9866.2441500000004</v>
      </c>
      <c r="K22" s="776">
        <f t="shared" ref="K22:K23" si="23">SUM(E22:J22)</f>
        <v>765274.41109705484</v>
      </c>
      <c r="L22" s="776">
        <f t="shared" ref="L22:L23" si="24">$L$6*K22</f>
        <v>114791.16166455823</v>
      </c>
      <c r="M22" s="776">
        <f t="shared" ref="M22:M23" si="25">K22+L22</f>
        <v>880065.57276161306</v>
      </c>
      <c r="N22" s="776">
        <f t="shared" si="1"/>
        <v>757258.30646134051</v>
      </c>
      <c r="O22" s="776">
        <f t="shared" si="2"/>
        <v>113588.74596920107</v>
      </c>
      <c r="P22" s="776">
        <f t="shared" si="3"/>
        <v>870847.0524305416</v>
      </c>
      <c r="Q22" s="776">
        <f>NCong!J40+NCong!J51+NCong!J66+NCong!J74+NCong!J78+NCong!J79+NCong!J80+NCong!J85+NCong!J89+NCong!J90+NCong!J91+NCong!J94+NCong!J95</f>
        <v>18860.176923076917</v>
      </c>
    </row>
    <row r="23" spans="1:17" s="770" customFormat="1">
      <c r="A23" s="1084"/>
      <c r="B23" s="1085"/>
      <c r="C23" s="1084"/>
      <c r="D23" s="773">
        <v>3</v>
      </c>
      <c r="E23" s="776">
        <f>NCong!I40+NCong!I53+NCong!I66+NCong!I74+NCong!I78+NCong!I79+NCong!I80+NCong!I85+NCong!I89+NCong!I90+NCong!I91+NCong!I94+NCong!I95</f>
        <v>699431.38876875013</v>
      </c>
      <c r="F23" s="776">
        <f t="shared" si="21"/>
        <v>54793.572749999999</v>
      </c>
      <c r="G23" s="776">
        <f t="shared" ref="G23:J23" si="26">G11*0.9</f>
        <v>11225.811047234038</v>
      </c>
      <c r="H23" s="776">
        <f t="shared" si="26"/>
        <v>58550.400000000001</v>
      </c>
      <c r="I23" s="776">
        <f t="shared" si="26"/>
        <v>8016.1046357142859</v>
      </c>
      <c r="J23" s="776">
        <f t="shared" si="26"/>
        <v>9866.2441500000004</v>
      </c>
      <c r="K23" s="776">
        <f t="shared" si="23"/>
        <v>841883.52135169855</v>
      </c>
      <c r="L23" s="776">
        <f t="shared" si="24"/>
        <v>126282.52820275478</v>
      </c>
      <c r="M23" s="776">
        <f t="shared" si="25"/>
        <v>968166.04955445335</v>
      </c>
      <c r="N23" s="776">
        <f t="shared" si="1"/>
        <v>833867.41671598423</v>
      </c>
      <c r="O23" s="776">
        <f t="shared" si="2"/>
        <v>125080.11250739763</v>
      </c>
      <c r="P23" s="776">
        <f t="shared" si="3"/>
        <v>958947.52922338189</v>
      </c>
      <c r="Q23" s="776">
        <f>NCong!J40+NCong!J53+NCong!J66+NCong!J74+NCong!J78+NCong!J79+NCong!J80+NCong!J85+NCong!J89+NCong!J90+NCong!J91+NCong!J94+NCong!J95</f>
        <v>20962.023076923077</v>
      </c>
    </row>
    <row r="24" spans="1:17" s="770" customFormat="1" ht="15.75" customHeight="1">
      <c r="A24" s="773" t="s">
        <v>21</v>
      </c>
      <c r="B24" s="834" t="s">
        <v>811</v>
      </c>
      <c r="C24" s="771"/>
      <c r="D24" s="773"/>
      <c r="E24" s="776"/>
      <c r="F24" s="776"/>
      <c r="G24" s="776"/>
      <c r="H24" s="776"/>
      <c r="I24" s="776"/>
      <c r="J24" s="776"/>
      <c r="K24" s="776"/>
      <c r="L24" s="776"/>
      <c r="M24" s="776"/>
      <c r="N24" s="776"/>
      <c r="O24" s="776"/>
      <c r="P24" s="776"/>
      <c r="Q24" s="776"/>
    </row>
    <row r="25" spans="1:17" s="770" customFormat="1">
      <c r="A25" s="1095" t="s">
        <v>122</v>
      </c>
      <c r="B25" s="1096" t="s">
        <v>697</v>
      </c>
      <c r="C25" s="1091" t="s">
        <v>51</v>
      </c>
      <c r="D25" s="822">
        <v>1</v>
      </c>
      <c r="E25" s="824">
        <f>NCong!I12+NCong!I95</f>
        <v>716923.34071875003</v>
      </c>
      <c r="F25" s="824">
        <f>F9</f>
        <v>38155.082750000001</v>
      </c>
      <c r="G25" s="824">
        <f>Dcu!J20+Dcu!L20</f>
        <v>10329.513829273505</v>
      </c>
      <c r="H25" s="824">
        <f>H9</f>
        <v>65056</v>
      </c>
      <c r="I25" s="824">
        <f t="shared" ref="I25:J25" si="27">I9</f>
        <v>8906.7829285714288</v>
      </c>
      <c r="J25" s="824">
        <f t="shared" si="27"/>
        <v>10962.4935</v>
      </c>
      <c r="K25" s="824">
        <f>SUM(E25:J25)</f>
        <v>850333.21372659493</v>
      </c>
      <c r="L25" s="824">
        <f>$L$6*K25</f>
        <v>127549.98205898923</v>
      </c>
      <c r="M25" s="824">
        <f>K25+L25</f>
        <v>977883.19578558416</v>
      </c>
      <c r="N25" s="824">
        <f>K25-I25</f>
        <v>841426.43079802347</v>
      </c>
      <c r="O25" s="824">
        <f>$L$6*N25</f>
        <v>126213.96461970352</v>
      </c>
      <c r="P25" s="824">
        <f>N25+O25</f>
        <v>967640.39541772695</v>
      </c>
      <c r="Q25" s="824">
        <f>NCong!J12+NCong!J95</f>
        <v>21424.234615384608</v>
      </c>
    </row>
    <row r="26" spans="1:17" s="770" customFormat="1">
      <c r="A26" s="1091"/>
      <c r="B26" s="1096"/>
      <c r="C26" s="1091"/>
      <c r="D26" s="822">
        <v>2</v>
      </c>
      <c r="E26" s="824">
        <f>NCong!I14+NCong!I95</f>
        <v>773532.97621875012</v>
      </c>
      <c r="F26" s="824">
        <f t="shared" ref="F26:F27" si="28">F10</f>
        <v>45718.032749999998</v>
      </c>
      <c r="G26" s="824">
        <f>Dcu!J21+Dcu!L21</f>
        <v>11383.92089102564</v>
      </c>
      <c r="H26" s="824">
        <f t="shared" ref="H26:J27" si="29">H10</f>
        <v>65056</v>
      </c>
      <c r="I26" s="824">
        <f t="shared" si="29"/>
        <v>8906.7829285714288</v>
      </c>
      <c r="J26" s="824">
        <f t="shared" si="29"/>
        <v>10962.4935</v>
      </c>
      <c r="K26" s="824">
        <f t="shared" ref="K26:K33" si="30">SUM(E26:J26)</f>
        <v>915560.20628834725</v>
      </c>
      <c r="L26" s="824">
        <f t="shared" ref="L26:L39" si="31">$L$6*K26</f>
        <v>137334.03094325209</v>
      </c>
      <c r="M26" s="824">
        <f t="shared" ref="M26:M33" si="32">K26+L26</f>
        <v>1052894.2372315994</v>
      </c>
      <c r="N26" s="824">
        <f t="shared" ref="N26:N33" si="33">K26-I26</f>
        <v>906653.4233597758</v>
      </c>
      <c r="O26" s="824">
        <f t="shared" ref="O26:O39" si="34">$L$6*N26</f>
        <v>135998.01350396636</v>
      </c>
      <c r="P26" s="824">
        <f t="shared" ref="P26:P33" si="35">N26+O26</f>
        <v>1042651.4368637422</v>
      </c>
      <c r="Q26" s="824">
        <f>NCong!J14+NCong!J95</f>
        <v>23214.696153846147</v>
      </c>
    </row>
    <row r="27" spans="1:17" s="770" customFormat="1">
      <c r="A27" s="1091"/>
      <c r="B27" s="1096"/>
      <c r="C27" s="1091"/>
      <c r="D27" s="822">
        <v>3</v>
      </c>
      <c r="E27" s="824">
        <f>NCong!I16+NCong!I95</f>
        <v>840114.73321875022</v>
      </c>
      <c r="F27" s="824">
        <f t="shared" si="28"/>
        <v>54793.572749999999</v>
      </c>
      <c r="G27" s="824">
        <f>Dcu!J22+Dcu!L22</f>
        <v>12438.327952777778</v>
      </c>
      <c r="H27" s="824">
        <f t="shared" si="29"/>
        <v>65056</v>
      </c>
      <c r="I27" s="824">
        <f t="shared" si="29"/>
        <v>8906.7829285714288</v>
      </c>
      <c r="J27" s="824">
        <f t="shared" si="29"/>
        <v>10962.4935</v>
      </c>
      <c r="K27" s="824">
        <f t="shared" si="30"/>
        <v>992271.91035009944</v>
      </c>
      <c r="L27" s="824">
        <f t="shared" si="31"/>
        <v>148840.78655251491</v>
      </c>
      <c r="M27" s="824">
        <f t="shared" si="32"/>
        <v>1141112.6969026143</v>
      </c>
      <c r="N27" s="824">
        <f t="shared" si="33"/>
        <v>983365.12742152798</v>
      </c>
      <c r="O27" s="824">
        <f t="shared" si="34"/>
        <v>147504.76911322918</v>
      </c>
      <c r="P27" s="824">
        <f t="shared" si="35"/>
        <v>1130869.8965347572</v>
      </c>
      <c r="Q27" s="824">
        <f>NCong!J16+NCong!J95</f>
        <v>25316.5423076923</v>
      </c>
    </row>
    <row r="28" spans="1:17" s="770" customFormat="1">
      <c r="A28" s="1095" t="s">
        <v>572</v>
      </c>
      <c r="B28" s="1096" t="s">
        <v>698</v>
      </c>
      <c r="C28" s="1091" t="s">
        <v>51</v>
      </c>
      <c r="D28" s="822">
        <v>1</v>
      </c>
      <c r="E28" s="824">
        <f>E25*1.6</f>
        <v>1147077.3451500002</v>
      </c>
      <c r="F28" s="824">
        <f>F25*1.6</f>
        <v>61048.132400000002</v>
      </c>
      <c r="G28" s="824">
        <f>G25*1.6</f>
        <v>16527.222126837609</v>
      </c>
      <c r="H28" s="824">
        <f>H25</f>
        <v>65056</v>
      </c>
      <c r="I28" s="824">
        <f>I25*1.6</f>
        <v>14250.852685714286</v>
      </c>
      <c r="J28" s="824">
        <f>J25*1.6</f>
        <v>17539.989600000001</v>
      </c>
      <c r="K28" s="824">
        <f t="shared" si="30"/>
        <v>1321499.5419625521</v>
      </c>
      <c r="L28" s="824">
        <f t="shared" si="31"/>
        <v>198224.93129438281</v>
      </c>
      <c r="M28" s="824">
        <f t="shared" si="32"/>
        <v>1519724.4732569349</v>
      </c>
      <c r="N28" s="824">
        <f t="shared" si="33"/>
        <v>1307248.6892768377</v>
      </c>
      <c r="O28" s="824">
        <f t="shared" si="34"/>
        <v>196087.30339152567</v>
      </c>
      <c r="P28" s="824">
        <f t="shared" si="35"/>
        <v>1503335.9926683635</v>
      </c>
      <c r="Q28" s="824">
        <f>Q25*1.6</f>
        <v>34278.775384615372</v>
      </c>
    </row>
    <row r="29" spans="1:17" s="770" customFormat="1">
      <c r="A29" s="1091"/>
      <c r="B29" s="1096"/>
      <c r="C29" s="1091"/>
      <c r="D29" s="822">
        <v>2</v>
      </c>
      <c r="E29" s="824">
        <f t="shared" ref="E29:G29" si="36">E26*1.6</f>
        <v>1237652.7619500002</v>
      </c>
      <c r="F29" s="824">
        <f t="shared" si="36"/>
        <v>73148.852400000003</v>
      </c>
      <c r="G29" s="824">
        <f t="shared" si="36"/>
        <v>18214.273425641026</v>
      </c>
      <c r="H29" s="824">
        <f t="shared" ref="H29:H30" si="37">H26</f>
        <v>65056</v>
      </c>
      <c r="I29" s="824">
        <f t="shared" ref="I29:J30" si="38">I26*1.6</f>
        <v>14250.852685714286</v>
      </c>
      <c r="J29" s="824">
        <f t="shared" si="38"/>
        <v>17539.989600000001</v>
      </c>
      <c r="K29" s="824">
        <f t="shared" si="30"/>
        <v>1425862.7300613555</v>
      </c>
      <c r="L29" s="824">
        <f t="shared" si="31"/>
        <v>213879.40950920331</v>
      </c>
      <c r="M29" s="824">
        <f t="shared" si="32"/>
        <v>1639742.1395705589</v>
      </c>
      <c r="N29" s="824">
        <f t="shared" si="33"/>
        <v>1411611.8773756411</v>
      </c>
      <c r="O29" s="824">
        <f t="shared" si="34"/>
        <v>211741.78160634617</v>
      </c>
      <c r="P29" s="824">
        <f t="shared" si="35"/>
        <v>1623353.6589819873</v>
      </c>
      <c r="Q29" s="824">
        <f t="shared" ref="Q29:Q30" si="39">Q26*1.6</f>
        <v>37143.513846153837</v>
      </c>
    </row>
    <row r="30" spans="1:17" s="770" customFormat="1">
      <c r="A30" s="1091"/>
      <c r="B30" s="1096"/>
      <c r="C30" s="1091"/>
      <c r="D30" s="822">
        <v>3</v>
      </c>
      <c r="E30" s="824">
        <f t="shared" ref="E30:G30" si="40">E27*1.6</f>
        <v>1344183.5731500005</v>
      </c>
      <c r="F30" s="824">
        <f t="shared" si="40"/>
        <v>87669.716400000005</v>
      </c>
      <c r="G30" s="824">
        <f t="shared" si="40"/>
        <v>19901.324724444446</v>
      </c>
      <c r="H30" s="824">
        <f t="shared" si="37"/>
        <v>65056</v>
      </c>
      <c r="I30" s="824">
        <f t="shared" si="38"/>
        <v>14250.852685714286</v>
      </c>
      <c r="J30" s="824">
        <f t="shared" si="38"/>
        <v>17539.989600000001</v>
      </c>
      <c r="K30" s="824">
        <f t="shared" si="30"/>
        <v>1548601.4565601593</v>
      </c>
      <c r="L30" s="824">
        <f t="shared" si="31"/>
        <v>232290.21848402391</v>
      </c>
      <c r="M30" s="824">
        <f t="shared" si="32"/>
        <v>1780891.6750441832</v>
      </c>
      <c r="N30" s="824">
        <f t="shared" si="33"/>
        <v>1534350.603874445</v>
      </c>
      <c r="O30" s="824">
        <f t="shared" si="34"/>
        <v>230152.59058116673</v>
      </c>
      <c r="P30" s="824">
        <f t="shared" si="35"/>
        <v>1764503.1944556118</v>
      </c>
      <c r="Q30" s="824">
        <f t="shared" si="39"/>
        <v>40506.467692307684</v>
      </c>
    </row>
    <row r="31" spans="1:17" s="825" customFormat="1">
      <c r="A31" s="1095" t="s">
        <v>123</v>
      </c>
      <c r="B31" s="1096" t="s">
        <v>699</v>
      </c>
      <c r="C31" s="1091" t="s">
        <v>51</v>
      </c>
      <c r="D31" s="822">
        <v>1</v>
      </c>
      <c r="E31" s="824">
        <f>0.3*(NCong!I40+NCong!I41+NCong!I44+NCong!I45+NCong!I47+NCong!I49+NCong!I62+NCong!I65+NCong!I66+NCong!I69+NCong!I71+NCong!I72+NCong!I74+NCong!I78+NCong!I79+NCong!I85+NCong!I89+NCong!I90+NCong!I91+NCong!I94+NCong!I96+NCong!I99)</f>
        <v>180381.806735625</v>
      </c>
      <c r="F31" s="824">
        <f>F15</f>
        <v>11344.424999999999</v>
      </c>
      <c r="G31" s="824">
        <f t="shared" ref="G31:J31" si="41">G15</f>
        <v>2149.8877932051287</v>
      </c>
      <c r="H31" s="824">
        <f t="shared" si="41"/>
        <v>32528</v>
      </c>
      <c r="I31" s="824">
        <f t="shared" si="41"/>
        <v>4453.3914642857144</v>
      </c>
      <c r="J31" s="824">
        <f t="shared" si="41"/>
        <v>5481.2467500000002</v>
      </c>
      <c r="K31" s="824">
        <f t="shared" si="30"/>
        <v>236338.75774311583</v>
      </c>
      <c r="L31" s="824">
        <f t="shared" si="31"/>
        <v>35450.813661467371</v>
      </c>
      <c r="M31" s="824">
        <f t="shared" si="32"/>
        <v>271789.57140458317</v>
      </c>
      <c r="N31" s="824">
        <f t="shared" si="33"/>
        <v>231885.3662788301</v>
      </c>
      <c r="O31" s="824">
        <f t="shared" si="34"/>
        <v>34782.804941824514</v>
      </c>
      <c r="P31" s="824">
        <f t="shared" si="35"/>
        <v>266668.17122065462</v>
      </c>
      <c r="Q31" s="824">
        <f>0.3*(NCong!J40+NCong!J41+NCong!J44+NCong!J45+NCong!J47+NCong!J49+NCong!J62+NCong!J65+NCong!J66+NCong!J69+NCong!J71+NCong!J72+NCong!J74+NCong!J78+NCong!J79+NCong!J85+NCong!J89+NCong!J90+NCong!J91+NCong!J94+NCong!J96+NCong!J99)</f>
        <v>5402.3284615384609</v>
      </c>
    </row>
    <row r="32" spans="1:17" s="825" customFormat="1">
      <c r="A32" s="1091"/>
      <c r="B32" s="1096"/>
      <c r="C32" s="1091"/>
      <c r="D32" s="822">
        <v>2</v>
      </c>
      <c r="E32" s="824">
        <f>0.3*(NCong!I40+NCong!I41+NCong!I44+NCong!I45+NCong!I47+NCong!I51+NCong!I62+NCong!I65+NCong!I66+NCong!I69+NCong!I71+NCong!I72+NCong!I74+NCong!I78+NCong!I79+NCong!I85+NCong!I89+NCong!I90+NCong!I91+NCong!I94+NCong!I96+NCong!I99)</f>
        <v>197027.24598562499</v>
      </c>
      <c r="F32" s="824">
        <f t="shared" ref="F32:J33" si="42">F16</f>
        <v>13613.31</v>
      </c>
      <c r="G32" s="824">
        <f t="shared" si="42"/>
        <v>2360.7692055555558</v>
      </c>
      <c r="H32" s="824">
        <f t="shared" si="42"/>
        <v>32528</v>
      </c>
      <c r="I32" s="824">
        <f t="shared" si="42"/>
        <v>4453.3914642857144</v>
      </c>
      <c r="J32" s="824">
        <f t="shared" si="42"/>
        <v>5481.2467500000002</v>
      </c>
      <c r="K32" s="824">
        <f t="shared" si="30"/>
        <v>255463.96340546626</v>
      </c>
      <c r="L32" s="824">
        <f t="shared" si="31"/>
        <v>38319.594510819938</v>
      </c>
      <c r="M32" s="824">
        <f t="shared" si="32"/>
        <v>293783.55791628617</v>
      </c>
      <c r="N32" s="824">
        <f t="shared" si="33"/>
        <v>251010.57194118053</v>
      </c>
      <c r="O32" s="824">
        <f t="shared" si="34"/>
        <v>37651.58579117708</v>
      </c>
      <c r="P32" s="824">
        <f t="shared" si="35"/>
        <v>288662.15773235762</v>
      </c>
      <c r="Q32" s="824">
        <f>0.3*(NCong!J40+NCong!J41+NCong!J44+NCong!J45+NCong!J47+NCong!J51+NCong!J62+NCong!J65+NCong!J66+NCong!J69+NCong!J71+NCong!J72+NCong!J74+NCong!J78+NCong!J79+NCong!J85+NCong!J89+NCong!J90+NCong!J91+NCong!J94+NCong!J96+NCong!J99)</f>
        <v>5927.7899999999981</v>
      </c>
    </row>
    <row r="33" spans="1:17" s="825" customFormat="1">
      <c r="A33" s="1091"/>
      <c r="B33" s="1096"/>
      <c r="C33" s="1091"/>
      <c r="D33" s="822">
        <v>3</v>
      </c>
      <c r="E33" s="824">
        <f>0.3*(NCong!I40+NCong!I41+NCong!I44+NCong!I45+NCong!I47+NCong!I53+NCong!I62+NCong!I65+NCong!I66+NCong!I69+NCong!I71+NCong!I72+NCong!I74+NCong!I78+NCong!I79+NCong!I85+NCong!I89+NCong!I90+NCong!I91+NCong!I94+NCong!I96+NCong!I99)</f>
        <v>217001.773085625</v>
      </c>
      <c r="F33" s="824">
        <f t="shared" si="42"/>
        <v>16335.971999999998</v>
      </c>
      <c r="G33" s="824">
        <f t="shared" si="42"/>
        <v>2571.6506179059834</v>
      </c>
      <c r="H33" s="824">
        <f t="shared" si="42"/>
        <v>32528</v>
      </c>
      <c r="I33" s="824">
        <f t="shared" si="42"/>
        <v>4453.3914642857144</v>
      </c>
      <c r="J33" s="824">
        <f t="shared" si="42"/>
        <v>5481.2467500000002</v>
      </c>
      <c r="K33" s="824">
        <f t="shared" si="30"/>
        <v>278372.03391781671</v>
      </c>
      <c r="L33" s="824">
        <f t="shared" si="31"/>
        <v>41755.805087672503</v>
      </c>
      <c r="M33" s="824">
        <f t="shared" si="32"/>
        <v>320127.83900548919</v>
      </c>
      <c r="N33" s="824">
        <f t="shared" si="33"/>
        <v>273918.64245353098</v>
      </c>
      <c r="O33" s="824">
        <f t="shared" si="34"/>
        <v>41087.796368029645</v>
      </c>
      <c r="P33" s="824">
        <f t="shared" si="35"/>
        <v>315006.43882156065</v>
      </c>
      <c r="Q33" s="824">
        <f>0.3*(NCong!J40+NCong!J41+NCong!J44+NCong!J45+NCong!J47+NCong!J53+NCong!J62+NCong!J65+NCong!J66+NCong!J69+NCong!J71+NCong!J72+NCong!J74+NCong!J78+NCong!J79+NCong!J85+NCong!J89+NCong!J90+NCong!J91+NCong!J94+NCong!J96+NCong!J99)</f>
        <v>6558.3438461538453</v>
      </c>
    </row>
    <row r="34" spans="1:17" s="825" customFormat="1">
      <c r="A34" s="1095" t="s">
        <v>703</v>
      </c>
      <c r="B34" s="1096" t="s">
        <v>702</v>
      </c>
      <c r="C34" s="1091" t="s">
        <v>51</v>
      </c>
      <c r="D34" s="822">
        <v>1</v>
      </c>
      <c r="E34" s="824">
        <f>E18</f>
        <v>483543.25036874996</v>
      </c>
      <c r="F34" s="824">
        <f t="shared" ref="F34:J34" si="43">F18</f>
        <v>38155.082750000001</v>
      </c>
      <c r="G34" s="824">
        <f t="shared" si="43"/>
        <v>5164.7569146367523</v>
      </c>
      <c r="H34" s="824">
        <f t="shared" si="43"/>
        <v>32528</v>
      </c>
      <c r="I34" s="824">
        <f t="shared" si="43"/>
        <v>4453.3914642857144</v>
      </c>
      <c r="J34" s="824">
        <f t="shared" si="43"/>
        <v>5481.2467500000002</v>
      </c>
      <c r="K34" s="824">
        <f t="shared" ref="K34:K36" si="44">SUM(E34:J34)</f>
        <v>569325.72824767244</v>
      </c>
      <c r="L34" s="824">
        <f t="shared" si="31"/>
        <v>85398.859237150857</v>
      </c>
      <c r="M34" s="824">
        <f t="shared" ref="M34:M36" si="45">K34+L34</f>
        <v>654724.58748482331</v>
      </c>
      <c r="N34" s="824">
        <f t="shared" ref="N34:N36" si="46">K34-I34</f>
        <v>564872.33678338677</v>
      </c>
      <c r="O34" s="824">
        <f t="shared" si="34"/>
        <v>84730.850517508006</v>
      </c>
      <c r="P34" s="824">
        <f t="shared" ref="P34:P36" si="47">N34+O34</f>
        <v>649603.18730089476</v>
      </c>
      <c r="Q34" s="824">
        <f>Q18</f>
        <v>14782.01153846154</v>
      </c>
    </row>
    <row r="35" spans="1:17" s="825" customFormat="1">
      <c r="A35" s="1091"/>
      <c r="B35" s="1096"/>
      <c r="C35" s="1091"/>
      <c r="D35" s="822">
        <v>2</v>
      </c>
      <c r="E35" s="824">
        <f t="shared" ref="E35:J36" si="48">E19</f>
        <v>539028.04786875017</v>
      </c>
      <c r="F35" s="824">
        <f t="shared" si="48"/>
        <v>45718.032749999998</v>
      </c>
      <c r="G35" s="824">
        <f t="shared" si="48"/>
        <v>5691.9604455128201</v>
      </c>
      <c r="H35" s="824">
        <f t="shared" si="48"/>
        <v>32528</v>
      </c>
      <c r="I35" s="824">
        <f t="shared" si="48"/>
        <v>4453.3914642857144</v>
      </c>
      <c r="J35" s="824">
        <f t="shared" si="48"/>
        <v>5481.2467500000002</v>
      </c>
      <c r="K35" s="824">
        <f t="shared" si="44"/>
        <v>632900.67927854869</v>
      </c>
      <c r="L35" s="824">
        <f t="shared" si="31"/>
        <v>94935.101891782295</v>
      </c>
      <c r="M35" s="824">
        <f t="shared" si="45"/>
        <v>727835.78117033094</v>
      </c>
      <c r="N35" s="824">
        <f t="shared" si="46"/>
        <v>628447.28781426302</v>
      </c>
      <c r="O35" s="824">
        <f t="shared" si="34"/>
        <v>94267.093172139445</v>
      </c>
      <c r="P35" s="824">
        <f t="shared" si="47"/>
        <v>722714.38098640251</v>
      </c>
      <c r="Q35" s="824">
        <f t="shared" ref="Q35:Q36" si="49">Q19</f>
        <v>16533.55</v>
      </c>
    </row>
    <row r="36" spans="1:17" s="825" customFormat="1">
      <c r="A36" s="1091"/>
      <c r="B36" s="1096"/>
      <c r="C36" s="1091"/>
      <c r="D36" s="822">
        <v>3</v>
      </c>
      <c r="E36" s="824">
        <f t="shared" si="48"/>
        <v>605609.80486875004</v>
      </c>
      <c r="F36" s="824">
        <f t="shared" si="48"/>
        <v>54793.572749999999</v>
      </c>
      <c r="G36" s="824">
        <f t="shared" si="48"/>
        <v>6219.1639763888888</v>
      </c>
      <c r="H36" s="824">
        <f t="shared" si="48"/>
        <v>32528</v>
      </c>
      <c r="I36" s="824">
        <f t="shared" si="48"/>
        <v>4453.3914642857144</v>
      </c>
      <c r="J36" s="824">
        <f t="shared" si="48"/>
        <v>5481.2467500000002</v>
      </c>
      <c r="K36" s="824">
        <f t="shared" si="44"/>
        <v>709085.17980942468</v>
      </c>
      <c r="L36" s="824">
        <f t="shared" si="31"/>
        <v>106362.7769714137</v>
      </c>
      <c r="M36" s="824">
        <f t="shared" si="45"/>
        <v>815447.95678083831</v>
      </c>
      <c r="N36" s="824">
        <f t="shared" si="46"/>
        <v>704631.78834513901</v>
      </c>
      <c r="O36" s="824">
        <f t="shared" si="34"/>
        <v>105694.76825177085</v>
      </c>
      <c r="P36" s="824">
        <f t="shared" si="47"/>
        <v>810326.55659690988</v>
      </c>
      <c r="Q36" s="824">
        <f t="shared" si="49"/>
        <v>18635.396153846155</v>
      </c>
    </row>
    <row r="37" spans="1:17" s="825" customFormat="1">
      <c r="A37" s="1095" t="s">
        <v>705</v>
      </c>
      <c r="B37" s="1096" t="s">
        <v>704</v>
      </c>
      <c r="C37" s="1091" t="s">
        <v>51</v>
      </c>
      <c r="D37" s="822">
        <v>1</v>
      </c>
      <c r="E37" s="824">
        <f>NCong!I40+NCong!I49+NCong!I66+NCong!I74+NCong!I78+NCong!I79+NCong!I85+NCong!I89+NCong!I90+NCong!I91+NCong!I94+NCong!I95</f>
        <v>505259.83426874992</v>
      </c>
      <c r="F37" s="824">
        <f>F21</f>
        <v>38155.082750000001</v>
      </c>
      <c r="G37" s="824">
        <f t="shared" ref="G37:J37" si="50">G21</f>
        <v>9322.1845379467304</v>
      </c>
      <c r="H37" s="824">
        <f t="shared" si="50"/>
        <v>58550.400000000001</v>
      </c>
      <c r="I37" s="824">
        <f t="shared" si="50"/>
        <v>8016.1046357142859</v>
      </c>
      <c r="J37" s="824">
        <f t="shared" si="50"/>
        <v>9866.2441500000004</v>
      </c>
      <c r="K37" s="824">
        <f t="shared" ref="K37:K39" si="51">SUM(E37:J37)</f>
        <v>629169.85034241108</v>
      </c>
      <c r="L37" s="824">
        <f t="shared" si="31"/>
        <v>94375.477551361662</v>
      </c>
      <c r="M37" s="824">
        <f t="shared" ref="M37:M39" si="52">K37+L37</f>
        <v>723545.32789377274</v>
      </c>
      <c r="N37" s="824">
        <f t="shared" ref="N37:N39" si="53">K37-I37</f>
        <v>621153.74570669676</v>
      </c>
      <c r="O37" s="824">
        <f t="shared" si="34"/>
        <v>93173.061856004511</v>
      </c>
      <c r="P37" s="824">
        <f t="shared" ref="P37:P39" si="54">N37+O37</f>
        <v>714326.80756270129</v>
      </c>
      <c r="Q37" s="824">
        <f>NCong!J40+NCong!J49+NCong!J66+NCong!J74+NCong!J78+NCong!J79+NCong!J85+NCong!J89+NCong!J90+NCong!J91+NCong!J94+NCong!J95</f>
        <v>15162.484615384614</v>
      </c>
    </row>
    <row r="38" spans="1:17" s="825" customFormat="1">
      <c r="A38" s="1091"/>
      <c r="B38" s="1096"/>
      <c r="C38" s="1091"/>
      <c r="D38" s="822">
        <v>2</v>
      </c>
      <c r="E38" s="824">
        <f>NCong!I40+NCong!I51+NCong!I66+NCong!I74+NCong!I78+NCong!I79+NCong!I85+NCong!I89+NCong!I90+NCong!I91+NCong!I94+NCong!I95</f>
        <v>560744.63176875003</v>
      </c>
      <c r="F38" s="824">
        <f t="shared" ref="F38:J39" si="55">F22</f>
        <v>45718.032749999998</v>
      </c>
      <c r="G38" s="824">
        <f t="shared" si="55"/>
        <v>10273.997792590382</v>
      </c>
      <c r="H38" s="824">
        <f t="shared" si="55"/>
        <v>58550.400000000001</v>
      </c>
      <c r="I38" s="824">
        <f t="shared" si="55"/>
        <v>8016.1046357142859</v>
      </c>
      <c r="J38" s="824">
        <f t="shared" si="55"/>
        <v>9866.2441500000004</v>
      </c>
      <c r="K38" s="824">
        <f t="shared" si="51"/>
        <v>693169.41109705484</v>
      </c>
      <c r="L38" s="824">
        <f t="shared" si="31"/>
        <v>103975.41166455823</v>
      </c>
      <c r="M38" s="824">
        <f t="shared" si="52"/>
        <v>797144.82276161306</v>
      </c>
      <c r="N38" s="824">
        <f t="shared" si="53"/>
        <v>685153.30646134051</v>
      </c>
      <c r="O38" s="824">
        <f t="shared" si="34"/>
        <v>102772.99596920107</v>
      </c>
      <c r="P38" s="824">
        <f t="shared" si="54"/>
        <v>787926.3024305416</v>
      </c>
      <c r="Q38" s="824">
        <f>NCong!J40+NCong!J51+NCong!J66+NCong!J74+NCong!J78+NCong!J79+NCong!J85+NCong!J89+NCong!J90+NCong!J91+NCong!J94+NCong!J95</f>
        <v>16914.023076923073</v>
      </c>
    </row>
    <row r="39" spans="1:17" s="825" customFormat="1">
      <c r="A39" s="1091"/>
      <c r="B39" s="1096"/>
      <c r="C39" s="1091"/>
      <c r="D39" s="822">
        <v>3</v>
      </c>
      <c r="E39" s="824">
        <f>NCong!I40+NCong!I53+NCong!I66+NCong!I74+NCong!I78+NCong!I79+NCong!I85+NCong!I89+NCong!I90+NCong!I91+NCong!I94+NCong!I95</f>
        <v>627326.38876875013</v>
      </c>
      <c r="F39" s="824">
        <f t="shared" si="55"/>
        <v>54793.572749999999</v>
      </c>
      <c r="G39" s="824">
        <f t="shared" si="55"/>
        <v>11225.811047234038</v>
      </c>
      <c r="H39" s="824">
        <f t="shared" si="55"/>
        <v>58550.400000000001</v>
      </c>
      <c r="I39" s="824">
        <f t="shared" si="55"/>
        <v>8016.1046357142859</v>
      </c>
      <c r="J39" s="824">
        <f t="shared" si="55"/>
        <v>9866.2441500000004</v>
      </c>
      <c r="K39" s="824">
        <f t="shared" si="51"/>
        <v>769778.52135169855</v>
      </c>
      <c r="L39" s="824">
        <f t="shared" si="31"/>
        <v>115466.77820275478</v>
      </c>
      <c r="M39" s="824">
        <f t="shared" si="52"/>
        <v>885245.29955445335</v>
      </c>
      <c r="N39" s="824">
        <f t="shared" si="53"/>
        <v>761762.41671598423</v>
      </c>
      <c r="O39" s="824">
        <f t="shared" si="34"/>
        <v>114264.36250739763</v>
      </c>
      <c r="P39" s="824">
        <f t="shared" si="54"/>
        <v>876026.77922338189</v>
      </c>
      <c r="Q39" s="824">
        <f>NCong!J40+NCong!J53+NCong!J66+NCong!J74+NCong!J78+NCong!J79+NCong!J85+NCong!J89+NCong!J90+NCong!J91+NCong!J94+NCong!J95</f>
        <v>19015.869230769229</v>
      </c>
    </row>
    <row r="40" spans="1:17" s="770" customFormat="1">
      <c r="A40" s="773" t="s">
        <v>817</v>
      </c>
      <c r="B40" s="774" t="s">
        <v>816</v>
      </c>
      <c r="C40" s="771"/>
      <c r="D40" s="773"/>
      <c r="E40" s="776"/>
      <c r="F40" s="776"/>
      <c r="G40" s="776"/>
      <c r="H40" s="776"/>
      <c r="I40" s="776"/>
      <c r="J40" s="776"/>
      <c r="K40" s="776"/>
      <c r="L40" s="776"/>
      <c r="M40" s="776"/>
      <c r="N40" s="776"/>
      <c r="O40" s="776"/>
      <c r="P40" s="776"/>
      <c r="Q40" s="776"/>
    </row>
    <row r="41" spans="1:17" s="770" customFormat="1">
      <c r="A41" s="1083" t="s">
        <v>122</v>
      </c>
      <c r="B41" s="1085" t="s">
        <v>697</v>
      </c>
      <c r="C41" s="1084" t="s">
        <v>51</v>
      </c>
      <c r="D41" s="773">
        <v>1</v>
      </c>
      <c r="E41" s="776">
        <f>NCong!I18+NCong!I95</f>
        <v>1208902.9662187502</v>
      </c>
      <c r="F41" s="776">
        <f>NCong!I19</f>
        <v>92267.99</v>
      </c>
      <c r="G41" s="776">
        <f t="shared" ref="G41:J43" si="56">G9</f>
        <v>10357.982819940811</v>
      </c>
      <c r="H41" s="776">
        <f t="shared" si="56"/>
        <v>65056</v>
      </c>
      <c r="I41" s="776">
        <f t="shared" si="56"/>
        <v>8906.7829285714288</v>
      </c>
      <c r="J41" s="776">
        <f t="shared" si="56"/>
        <v>10962.4935</v>
      </c>
      <c r="K41" s="776">
        <f t="shared" ref="K41:K43" si="57">SUM(E41:J41)</f>
        <v>1396454.2154672625</v>
      </c>
      <c r="L41" s="776">
        <f t="shared" ref="L41:L46" si="58">$L$6*K41</f>
        <v>209468.13232008938</v>
      </c>
      <c r="M41" s="776">
        <f t="shared" ref="M41:M43" si="59">K41+L41</f>
        <v>1605922.3477873518</v>
      </c>
      <c r="N41" s="776">
        <f t="shared" ref="N41:N43" si="60">K41-I41</f>
        <v>1387547.4325386912</v>
      </c>
      <c r="O41" s="776">
        <f t="shared" ref="O41:O46" si="61">$L$6*N41</f>
        <v>208132.11488080368</v>
      </c>
      <c r="P41" s="776">
        <f t="shared" ref="P41:P43" si="62">N41+O41</f>
        <v>1595679.5474194949</v>
      </c>
      <c r="Q41" s="776">
        <f>NCong!J18+NCong!J95</f>
        <v>36545.850000000006</v>
      </c>
    </row>
    <row r="42" spans="1:17" s="770" customFormat="1">
      <c r="A42" s="1084"/>
      <c r="B42" s="1085"/>
      <c r="C42" s="1084"/>
      <c r="D42" s="773">
        <v>2</v>
      </c>
      <c r="E42" s="776">
        <f>NCong!I20+NCong!I95</f>
        <v>1276717.7187187499</v>
      </c>
      <c r="F42" s="776">
        <f>NCong!I21</f>
        <v>101343.53</v>
      </c>
      <c r="G42" s="776">
        <f t="shared" si="56"/>
        <v>11415.553102878202</v>
      </c>
      <c r="H42" s="776">
        <f t="shared" si="56"/>
        <v>65056</v>
      </c>
      <c r="I42" s="776">
        <f t="shared" si="56"/>
        <v>8906.7829285714288</v>
      </c>
      <c r="J42" s="776">
        <f t="shared" si="56"/>
        <v>10962.4935</v>
      </c>
      <c r="K42" s="776">
        <f t="shared" si="57"/>
        <v>1474402.0782501996</v>
      </c>
      <c r="L42" s="776">
        <f t="shared" si="58"/>
        <v>221160.31173752993</v>
      </c>
      <c r="M42" s="776">
        <f t="shared" si="59"/>
        <v>1695562.3899877295</v>
      </c>
      <c r="N42" s="776">
        <f t="shared" si="60"/>
        <v>1465495.2953216282</v>
      </c>
      <c r="O42" s="776">
        <f t="shared" si="61"/>
        <v>219824.29429824423</v>
      </c>
      <c r="P42" s="776">
        <f t="shared" si="62"/>
        <v>1685319.5896198724</v>
      </c>
      <c r="Q42" s="776">
        <f>NCong!J20+NCong!J95</f>
        <v>38686.619230769225</v>
      </c>
    </row>
    <row r="43" spans="1:17" s="770" customFormat="1">
      <c r="A43" s="1084"/>
      <c r="B43" s="1085"/>
      <c r="C43" s="1084"/>
      <c r="D43" s="773">
        <v>3</v>
      </c>
      <c r="E43" s="776">
        <f>NCong!I22+NCong!I95</f>
        <v>1351313.94646875</v>
      </c>
      <c r="F43" s="776">
        <f>NCong!I23</f>
        <v>110419.06999999999</v>
      </c>
      <c r="G43" s="776">
        <f t="shared" si="56"/>
        <v>12473.123385815597</v>
      </c>
      <c r="H43" s="776">
        <f t="shared" si="56"/>
        <v>65056</v>
      </c>
      <c r="I43" s="776">
        <f t="shared" si="56"/>
        <v>8906.7829285714288</v>
      </c>
      <c r="J43" s="776">
        <f t="shared" si="56"/>
        <v>10962.4935</v>
      </c>
      <c r="K43" s="776">
        <f t="shared" si="57"/>
        <v>1559131.4162831372</v>
      </c>
      <c r="L43" s="776">
        <f t="shared" si="58"/>
        <v>233869.71244247057</v>
      </c>
      <c r="M43" s="776">
        <f t="shared" si="59"/>
        <v>1793001.1287256076</v>
      </c>
      <c r="N43" s="776">
        <f t="shared" si="60"/>
        <v>1550224.6333545658</v>
      </c>
      <c r="O43" s="776">
        <f t="shared" si="61"/>
        <v>232533.69500318487</v>
      </c>
      <c r="P43" s="776">
        <f t="shared" si="62"/>
        <v>1782758.3283577508</v>
      </c>
      <c r="Q43" s="776">
        <f>NCong!J22+NCong!J95</f>
        <v>41041.465384615374</v>
      </c>
    </row>
    <row r="44" spans="1:17" s="770" customFormat="1">
      <c r="A44" s="1083" t="s">
        <v>572</v>
      </c>
      <c r="B44" s="1085" t="s">
        <v>698</v>
      </c>
      <c r="C44" s="1084" t="s">
        <v>51</v>
      </c>
      <c r="D44" s="773">
        <v>1</v>
      </c>
      <c r="E44" s="776">
        <f>E41*1.6</f>
        <v>1934244.7459500004</v>
      </c>
      <c r="F44" s="776">
        <f>F41*1.6</f>
        <v>147628.78400000001</v>
      </c>
      <c r="G44" s="776">
        <f>G41*1.6</f>
        <v>16572.772511905299</v>
      </c>
      <c r="H44" s="776">
        <f>H9</f>
        <v>65056</v>
      </c>
      <c r="I44" s="776">
        <f t="shared" ref="I44:J44" si="63">I41*1.6</f>
        <v>14250.852685714286</v>
      </c>
      <c r="J44" s="776">
        <f t="shared" si="63"/>
        <v>17539.989600000001</v>
      </c>
      <c r="K44" s="776">
        <f t="shared" ref="K44:K46" si="64">SUM(E44:J44)</f>
        <v>2195293.14474762</v>
      </c>
      <c r="L44" s="776">
        <f t="shared" si="58"/>
        <v>329293.97171214299</v>
      </c>
      <c r="M44" s="776">
        <f t="shared" ref="M44:M46" si="65">K44+L44</f>
        <v>2524587.1164597631</v>
      </c>
      <c r="N44" s="776">
        <f t="shared" ref="N44:N46" si="66">K44-I44</f>
        <v>2181042.2920619058</v>
      </c>
      <c r="O44" s="776">
        <f t="shared" si="61"/>
        <v>327156.34380928584</v>
      </c>
      <c r="P44" s="776">
        <f t="shared" ref="P44:P46" si="67">N44+O44</f>
        <v>2508198.6358711915</v>
      </c>
      <c r="Q44" s="776">
        <f>Q41*1.6</f>
        <v>58473.360000000015</v>
      </c>
    </row>
    <row r="45" spans="1:17" s="770" customFormat="1">
      <c r="A45" s="1084"/>
      <c r="B45" s="1085"/>
      <c r="C45" s="1084"/>
      <c r="D45" s="773">
        <v>2</v>
      </c>
      <c r="E45" s="776">
        <f t="shared" ref="E45:G46" si="68">E42*1.6</f>
        <v>2042748.3499499999</v>
      </c>
      <c r="F45" s="776">
        <f t="shared" si="68"/>
        <v>162149.64800000002</v>
      </c>
      <c r="G45" s="776">
        <f t="shared" si="68"/>
        <v>18264.884964605124</v>
      </c>
      <c r="H45" s="776">
        <f>H10</f>
        <v>65056</v>
      </c>
      <c r="I45" s="776">
        <f t="shared" ref="I45:J45" si="69">I42*1.6</f>
        <v>14250.852685714286</v>
      </c>
      <c r="J45" s="776">
        <f t="shared" si="69"/>
        <v>17539.989600000001</v>
      </c>
      <c r="K45" s="776">
        <f t="shared" si="64"/>
        <v>2320009.7252003192</v>
      </c>
      <c r="L45" s="776">
        <f t="shared" si="58"/>
        <v>348001.45878004789</v>
      </c>
      <c r="M45" s="776">
        <f t="shared" si="65"/>
        <v>2668011.1839803671</v>
      </c>
      <c r="N45" s="776">
        <f t="shared" si="66"/>
        <v>2305758.8725146051</v>
      </c>
      <c r="O45" s="776">
        <f t="shared" si="61"/>
        <v>345863.83087719075</v>
      </c>
      <c r="P45" s="776">
        <f t="shared" si="67"/>
        <v>2651622.703391796</v>
      </c>
      <c r="Q45" s="776">
        <f t="shared" ref="Q45:Q46" si="70">Q42*1.6</f>
        <v>61898.590769230766</v>
      </c>
    </row>
    <row r="46" spans="1:17" s="770" customFormat="1">
      <c r="A46" s="1084"/>
      <c r="B46" s="1085"/>
      <c r="C46" s="1084"/>
      <c r="D46" s="773">
        <v>3</v>
      </c>
      <c r="E46" s="776">
        <f t="shared" si="68"/>
        <v>2162102.3143500001</v>
      </c>
      <c r="F46" s="776">
        <f t="shared" si="68"/>
        <v>176670.51199999999</v>
      </c>
      <c r="G46" s="776">
        <f t="shared" si="68"/>
        <v>19956.997417304956</v>
      </c>
      <c r="H46" s="776">
        <f>H11</f>
        <v>65056</v>
      </c>
      <c r="I46" s="776">
        <f t="shared" ref="I46:J46" si="71">I43*1.6</f>
        <v>14250.852685714286</v>
      </c>
      <c r="J46" s="776">
        <f t="shared" si="71"/>
        <v>17539.989600000001</v>
      </c>
      <c r="K46" s="776">
        <f t="shared" si="64"/>
        <v>2455576.6660530195</v>
      </c>
      <c r="L46" s="776">
        <f t="shared" si="58"/>
        <v>368336.49990795291</v>
      </c>
      <c r="M46" s="776">
        <f t="shared" si="65"/>
        <v>2823913.1659609722</v>
      </c>
      <c r="N46" s="776">
        <f t="shared" si="66"/>
        <v>2441325.8133673053</v>
      </c>
      <c r="O46" s="776">
        <f t="shared" si="61"/>
        <v>366198.87200509576</v>
      </c>
      <c r="P46" s="776">
        <f t="shared" si="67"/>
        <v>2807524.685372401</v>
      </c>
      <c r="Q46" s="776">
        <f t="shared" si="70"/>
        <v>65666.344615384602</v>
      </c>
    </row>
    <row r="47" spans="1:17" s="770" customFormat="1">
      <c r="A47" s="773" t="s">
        <v>137</v>
      </c>
      <c r="B47" s="774" t="s">
        <v>818</v>
      </c>
      <c r="C47" s="771"/>
      <c r="D47" s="773"/>
      <c r="E47" s="776"/>
      <c r="F47" s="776"/>
      <c r="G47" s="776"/>
      <c r="H47" s="776"/>
      <c r="I47" s="776"/>
      <c r="J47" s="776"/>
      <c r="K47" s="776"/>
      <c r="L47" s="776"/>
      <c r="M47" s="776"/>
      <c r="N47" s="776"/>
      <c r="O47" s="776"/>
      <c r="P47" s="776"/>
      <c r="Q47" s="776"/>
    </row>
    <row r="48" spans="1:17" s="825" customFormat="1">
      <c r="A48" s="1095" t="s">
        <v>122</v>
      </c>
      <c r="B48" s="1096" t="s">
        <v>697</v>
      </c>
      <c r="C48" s="1091" t="s">
        <v>51</v>
      </c>
      <c r="D48" s="822">
        <v>1</v>
      </c>
      <c r="E48" s="824">
        <f>NCong!I24+NCong!I95</f>
        <v>1136797.96621875</v>
      </c>
      <c r="F48" s="824">
        <f>F41</f>
        <v>92267.99</v>
      </c>
      <c r="G48" s="824">
        <f>G25</f>
        <v>10329.513829273505</v>
      </c>
      <c r="H48" s="824">
        <f>H25</f>
        <v>65056</v>
      </c>
      <c r="I48" s="824">
        <f t="shared" ref="I48:J48" si="72">I25</f>
        <v>8906.7829285714288</v>
      </c>
      <c r="J48" s="824">
        <f t="shared" si="72"/>
        <v>10962.4935</v>
      </c>
      <c r="K48" s="824">
        <f t="shared" ref="K48:K50" si="73">SUM(E48:J48)</f>
        <v>1324320.7464765948</v>
      </c>
      <c r="L48" s="824">
        <f t="shared" ref="L48:L50" si="74">$L$6*K48</f>
        <v>198648.11197148921</v>
      </c>
      <c r="M48" s="824">
        <f t="shared" ref="M48:M50" si="75">K48+L48</f>
        <v>1522968.858448084</v>
      </c>
      <c r="N48" s="824">
        <f t="shared" ref="N48:N50" si="76">K48-I48</f>
        <v>1315413.9635480235</v>
      </c>
      <c r="O48" s="824">
        <f t="shared" ref="O48:O50" si="77">$L$6*N48</f>
        <v>197312.09453220351</v>
      </c>
      <c r="P48" s="824">
        <f t="shared" ref="P48:P50" si="78">N48+O48</f>
        <v>1512726.0580802271</v>
      </c>
      <c r="Q48" s="824">
        <f>NCong!J24+NCong!J95</f>
        <v>34599.696153846155</v>
      </c>
    </row>
    <row r="49" spans="1:17" s="825" customFormat="1">
      <c r="A49" s="1091"/>
      <c r="B49" s="1096"/>
      <c r="C49" s="1091"/>
      <c r="D49" s="822">
        <v>2</v>
      </c>
      <c r="E49" s="824">
        <f>NCong!I26+NCong!I95</f>
        <v>1204612.7187187499</v>
      </c>
      <c r="F49" s="824">
        <f t="shared" ref="F49:F50" si="79">F42</f>
        <v>101343.53</v>
      </c>
      <c r="G49" s="824">
        <f t="shared" ref="G49:J50" si="80">G26</f>
        <v>11383.92089102564</v>
      </c>
      <c r="H49" s="824">
        <f t="shared" si="80"/>
        <v>65056</v>
      </c>
      <c r="I49" s="824">
        <f t="shared" si="80"/>
        <v>8906.7829285714288</v>
      </c>
      <c r="J49" s="824">
        <f t="shared" si="80"/>
        <v>10962.4935</v>
      </c>
      <c r="K49" s="824">
        <f t="shared" si="73"/>
        <v>1402265.446038347</v>
      </c>
      <c r="L49" s="824">
        <f t="shared" si="74"/>
        <v>210339.81690575203</v>
      </c>
      <c r="M49" s="824">
        <f t="shared" si="75"/>
        <v>1612605.262944099</v>
      </c>
      <c r="N49" s="824">
        <f t="shared" si="76"/>
        <v>1393358.6631097756</v>
      </c>
      <c r="O49" s="824">
        <f t="shared" si="77"/>
        <v>209003.79946646633</v>
      </c>
      <c r="P49" s="824">
        <f t="shared" si="78"/>
        <v>1602362.4625762419</v>
      </c>
      <c r="Q49" s="824">
        <f>NCong!J26+NCong!J95</f>
        <v>36740.465384615381</v>
      </c>
    </row>
    <row r="50" spans="1:17" s="825" customFormat="1">
      <c r="A50" s="1091"/>
      <c r="B50" s="1096"/>
      <c r="C50" s="1091"/>
      <c r="D50" s="822">
        <v>3</v>
      </c>
      <c r="E50" s="824">
        <f>NCong!I28+NCong!I95</f>
        <v>1279208.94646875</v>
      </c>
      <c r="F50" s="824">
        <f t="shared" si="79"/>
        <v>110419.06999999999</v>
      </c>
      <c r="G50" s="824">
        <f t="shared" si="80"/>
        <v>12438.327952777778</v>
      </c>
      <c r="H50" s="824">
        <f t="shared" si="80"/>
        <v>65056</v>
      </c>
      <c r="I50" s="824">
        <f t="shared" si="80"/>
        <v>8906.7829285714288</v>
      </c>
      <c r="J50" s="824">
        <f t="shared" si="80"/>
        <v>10962.4935</v>
      </c>
      <c r="K50" s="824">
        <f t="shared" si="73"/>
        <v>1486991.6208500993</v>
      </c>
      <c r="L50" s="824">
        <f t="shared" si="74"/>
        <v>223048.74312751487</v>
      </c>
      <c r="M50" s="824">
        <f t="shared" si="75"/>
        <v>1710040.3639776141</v>
      </c>
      <c r="N50" s="824">
        <f t="shared" si="76"/>
        <v>1478084.8379215279</v>
      </c>
      <c r="O50" s="824">
        <f t="shared" si="77"/>
        <v>221712.72568822917</v>
      </c>
      <c r="P50" s="824">
        <f t="shared" si="78"/>
        <v>1699797.563609757</v>
      </c>
      <c r="Q50" s="824">
        <f>NCong!J28+NCong!J95</f>
        <v>39095.31153846153</v>
      </c>
    </row>
    <row r="51" spans="1:17" s="825" customFormat="1">
      <c r="A51" s="1095" t="s">
        <v>572</v>
      </c>
      <c r="B51" s="1096" t="s">
        <v>698</v>
      </c>
      <c r="C51" s="1091" t="s">
        <v>51</v>
      </c>
      <c r="D51" s="822">
        <v>1</v>
      </c>
      <c r="E51" s="824">
        <f>E48*1.6</f>
        <v>1818876.7459500001</v>
      </c>
      <c r="F51" s="824">
        <f>F48*1.6</f>
        <v>147628.78400000001</v>
      </c>
      <c r="G51" s="824">
        <f>G48*1.6</f>
        <v>16527.222126837609</v>
      </c>
      <c r="H51" s="824">
        <f>H48</f>
        <v>65056</v>
      </c>
      <c r="I51" s="824">
        <f t="shared" ref="I51:J51" si="81">I48*1.6</f>
        <v>14250.852685714286</v>
      </c>
      <c r="J51" s="824">
        <f t="shared" si="81"/>
        <v>17539.989600000001</v>
      </c>
      <c r="K51" s="824">
        <f t="shared" ref="K51" si="82">SUM(E51:J51)</f>
        <v>2079879.594362552</v>
      </c>
      <c r="L51" s="824">
        <f t="shared" ref="L51" si="83">$L$6*K51</f>
        <v>311981.9391543828</v>
      </c>
      <c r="M51" s="824">
        <f t="shared" ref="M51" si="84">K51+L51</f>
        <v>2391861.5335169351</v>
      </c>
      <c r="N51" s="824">
        <f t="shared" ref="N51" si="85">K51-I51</f>
        <v>2065628.7416768377</v>
      </c>
      <c r="O51" s="824">
        <f t="shared" ref="O51" si="86">$L$6*N51</f>
        <v>309844.31125152565</v>
      </c>
      <c r="P51" s="824">
        <f t="shared" ref="P51" si="87">N51+O51</f>
        <v>2375473.0529283634</v>
      </c>
      <c r="Q51" s="824">
        <f>Q48*1.6</f>
        <v>55359.513846153852</v>
      </c>
    </row>
    <row r="52" spans="1:17" s="825" customFormat="1">
      <c r="A52" s="1091"/>
      <c r="B52" s="1096"/>
      <c r="C52" s="1091"/>
      <c r="D52" s="822">
        <v>2</v>
      </c>
      <c r="E52" s="824">
        <f t="shared" ref="E52:G53" si="88">E49*1.6</f>
        <v>1927380.3499499999</v>
      </c>
      <c r="F52" s="824">
        <f t="shared" si="88"/>
        <v>162149.64800000002</v>
      </c>
      <c r="G52" s="824">
        <f t="shared" si="88"/>
        <v>18214.273425641026</v>
      </c>
      <c r="H52" s="824">
        <f t="shared" ref="H52:H53" si="89">H49</f>
        <v>65056</v>
      </c>
      <c r="I52" s="824">
        <f t="shared" ref="I52:J52" si="90">I49*1.6</f>
        <v>14250.852685714286</v>
      </c>
      <c r="J52" s="824">
        <f t="shared" si="90"/>
        <v>17539.989600000001</v>
      </c>
      <c r="K52" s="824">
        <f t="shared" ref="K52:K53" si="91">SUM(E52:J52)</f>
        <v>2204591.1136613553</v>
      </c>
      <c r="L52" s="824">
        <f t="shared" ref="L52:L53" si="92">$L$6*K52</f>
        <v>330688.6670492033</v>
      </c>
      <c r="M52" s="824">
        <f t="shared" ref="M52:M53" si="93">K52+L52</f>
        <v>2535279.7807105584</v>
      </c>
      <c r="N52" s="824">
        <f t="shared" ref="N52:N53" si="94">K52-I52</f>
        <v>2190340.2609756412</v>
      </c>
      <c r="O52" s="824">
        <f t="shared" ref="O52:O53" si="95">$L$6*N52</f>
        <v>328551.03914634616</v>
      </c>
      <c r="P52" s="824">
        <f t="shared" ref="P52:P53" si="96">N52+O52</f>
        <v>2518891.3001219872</v>
      </c>
      <c r="Q52" s="824">
        <f t="shared" ref="Q52:Q53" si="97">Q49*1.6</f>
        <v>58784.74461538461</v>
      </c>
    </row>
    <row r="53" spans="1:17" s="825" customFormat="1">
      <c r="A53" s="1091"/>
      <c r="B53" s="1096"/>
      <c r="C53" s="1091"/>
      <c r="D53" s="822">
        <v>3</v>
      </c>
      <c r="E53" s="824">
        <f t="shared" si="88"/>
        <v>2046734.3143500001</v>
      </c>
      <c r="F53" s="824">
        <f t="shared" si="88"/>
        <v>176670.51199999999</v>
      </c>
      <c r="G53" s="824">
        <f t="shared" si="88"/>
        <v>19901.324724444446</v>
      </c>
      <c r="H53" s="824">
        <f t="shared" si="89"/>
        <v>65056</v>
      </c>
      <c r="I53" s="824">
        <f t="shared" ref="I53:J53" si="98">I50*1.6</f>
        <v>14250.852685714286</v>
      </c>
      <c r="J53" s="824">
        <f t="shared" si="98"/>
        <v>17539.989600000001</v>
      </c>
      <c r="K53" s="824">
        <f t="shared" si="91"/>
        <v>2340152.993360159</v>
      </c>
      <c r="L53" s="824">
        <f t="shared" si="92"/>
        <v>351022.94900402386</v>
      </c>
      <c r="M53" s="824">
        <f t="shared" si="93"/>
        <v>2691175.9423641828</v>
      </c>
      <c r="N53" s="824">
        <f t="shared" si="94"/>
        <v>2325902.1406744448</v>
      </c>
      <c r="O53" s="824">
        <f t="shared" si="95"/>
        <v>348885.32110116672</v>
      </c>
      <c r="P53" s="824">
        <f t="shared" si="96"/>
        <v>2674787.4617756116</v>
      </c>
      <c r="Q53" s="824">
        <f t="shared" si="97"/>
        <v>62552.498461538453</v>
      </c>
    </row>
    <row r="54" spans="1:17" s="780" customFormat="1" hidden="1">
      <c r="A54" s="1087" t="str">
        <f>NCong!A6</f>
        <v>I.1</v>
      </c>
      <c r="B54" s="1088" t="str">
        <f>NCong!B6</f>
        <v>CÁC NỘI DUNG THỰC HIỆN TẠI ĐỊA BÀN XÃ, PHƯỜNG (ĐỐI VỚI CÁ NHÂN CÓ PHẢI CHUẨN BỊ HỢP ĐỒNG THUÊ ĐẤT)</v>
      </c>
      <c r="C54" s="1087" t="s">
        <v>51</v>
      </c>
      <c r="D54" s="778">
        <v>1</v>
      </c>
      <c r="E54" s="779">
        <f>NCong!I6</f>
        <v>759644.92229999998</v>
      </c>
      <c r="F54" s="779">
        <f>NCong!I7</f>
        <v>38155.082750000001</v>
      </c>
      <c r="G54" s="779">
        <f>Dcu!J20</f>
        <v>9489.6635557692316</v>
      </c>
      <c r="H54" s="779">
        <f>VLieu!H$23</f>
        <v>48325.5</v>
      </c>
      <c r="I54" s="779">
        <f>Tbi!I5</f>
        <v>6994.8023571428575</v>
      </c>
      <c r="J54" s="779">
        <f>Tbi!I12</f>
        <v>10693.147500000001</v>
      </c>
      <c r="K54" s="779">
        <f t="shared" ref="K54:K57" si="99">SUM(E54:J54)</f>
        <v>873303.11846291216</v>
      </c>
      <c r="L54" s="779">
        <f>$L$6*K54</f>
        <v>130995.46776943681</v>
      </c>
      <c r="M54" s="779">
        <f t="shared" ref="M54:M57" si="100">K54+L54</f>
        <v>1004298.5862323489</v>
      </c>
      <c r="N54" s="776">
        <f t="shared" si="1"/>
        <v>866308.31610576925</v>
      </c>
      <c r="O54" s="776">
        <f t="shared" si="2"/>
        <v>129946.24741586538</v>
      </c>
      <c r="P54" s="776">
        <f t="shared" si="3"/>
        <v>996254.56352163467</v>
      </c>
      <c r="Q54" s="779">
        <f>NCong!J6</f>
        <v>22673.665384615379</v>
      </c>
    </row>
    <row r="55" spans="1:17" s="780" customFormat="1" hidden="1">
      <c r="A55" s="1087"/>
      <c r="B55" s="1088"/>
      <c r="C55" s="1087"/>
      <c r="D55" s="778">
        <v>2</v>
      </c>
      <c r="E55" s="779">
        <f>NCong!I8</f>
        <v>816254.55780000007</v>
      </c>
      <c r="F55" s="779">
        <f>NCong!I9</f>
        <v>45718.032749999998</v>
      </c>
      <c r="G55" s="779">
        <f>Dcu!J21</f>
        <v>10544.070617521367</v>
      </c>
      <c r="H55" s="779">
        <f>VLieu!H$23</f>
        <v>48325.5</v>
      </c>
      <c r="I55" s="779">
        <f>Tbi!I5</f>
        <v>6994.8023571428575</v>
      </c>
      <c r="J55" s="779">
        <f>Tbi!I12</f>
        <v>10693.147500000001</v>
      </c>
      <c r="K55" s="779">
        <f t="shared" si="99"/>
        <v>938530.11102466437</v>
      </c>
      <c r="L55" s="779">
        <f>$L$6*K55</f>
        <v>140779.51665369965</v>
      </c>
      <c r="M55" s="779">
        <f t="shared" si="100"/>
        <v>1079309.627678364</v>
      </c>
      <c r="N55" s="776">
        <f t="shared" si="1"/>
        <v>931535.30866752146</v>
      </c>
      <c r="O55" s="776">
        <f t="shared" si="2"/>
        <v>139730.29630012822</v>
      </c>
      <c r="P55" s="776">
        <f t="shared" si="3"/>
        <v>1071265.6049676496</v>
      </c>
      <c r="Q55" s="779">
        <f>NCong!J8</f>
        <v>24464.126923076918</v>
      </c>
    </row>
    <row r="56" spans="1:17" s="780" customFormat="1" hidden="1">
      <c r="A56" s="1087"/>
      <c r="B56" s="1088"/>
      <c r="C56" s="1087"/>
      <c r="D56" s="778">
        <v>3</v>
      </c>
      <c r="E56" s="779">
        <f>NCong!I10</f>
        <v>882836.31480000017</v>
      </c>
      <c r="F56" s="779">
        <f>NCong!I11</f>
        <v>54793.572749999999</v>
      </c>
      <c r="G56" s="779">
        <f>Dcu!J22</f>
        <v>11598.477679273505</v>
      </c>
      <c r="H56" s="779">
        <f>VLieu!H$23</f>
        <v>48325.5</v>
      </c>
      <c r="I56" s="779">
        <f>Tbi!I5</f>
        <v>6994.8023571428575</v>
      </c>
      <c r="J56" s="779">
        <f>Tbi!I12</f>
        <v>10693.147500000001</v>
      </c>
      <c r="K56" s="779">
        <f t="shared" si="99"/>
        <v>1015241.8150864166</v>
      </c>
      <c r="L56" s="779">
        <f>$L$6*K56</f>
        <v>152286.27226296248</v>
      </c>
      <c r="M56" s="779">
        <f t="shared" si="100"/>
        <v>1167528.087349379</v>
      </c>
      <c r="N56" s="776">
        <f t="shared" si="1"/>
        <v>1008247.0127292736</v>
      </c>
      <c r="O56" s="776">
        <f t="shared" si="2"/>
        <v>151237.05190939104</v>
      </c>
      <c r="P56" s="776">
        <f t="shared" si="3"/>
        <v>1159484.0646386647</v>
      </c>
      <c r="Q56" s="779">
        <f>NCong!J10</f>
        <v>26565.97307692307</v>
      </c>
    </row>
    <row r="57" spans="1:17" s="770" customFormat="1" hidden="1">
      <c r="A57" s="777" t="str">
        <f>NCong!A95</f>
        <v>I.2</v>
      </c>
      <c r="B57" s="781" t="str">
        <f>NCong!B95</f>
        <v>CÁC NỘI DUNG THỰC HIỆN TẠI ĐỊA BÀN CẤP TỈNH</v>
      </c>
      <c r="C57" s="771" t="s">
        <v>51</v>
      </c>
      <c r="D57" s="782" t="s">
        <v>31</v>
      </c>
      <c r="E57" s="776">
        <f>NCong!I95</f>
        <v>29383.41841875</v>
      </c>
      <c r="F57" s="776"/>
      <c r="G57" s="776">
        <f>Dcu!L20</f>
        <v>839.85027350427356</v>
      </c>
      <c r="H57" s="776">
        <f>VLieu!J23</f>
        <v>16730.5</v>
      </c>
      <c r="I57" s="776">
        <f>Tbi!I13</f>
        <v>1911.9805714285717</v>
      </c>
      <c r="J57" s="776">
        <f>Dcu!L16</f>
        <v>269.346</v>
      </c>
      <c r="K57" s="776">
        <f t="shared" si="99"/>
        <v>49135.095263682844</v>
      </c>
      <c r="L57" s="776">
        <f>$L$6*K57</f>
        <v>7370.2642895524259</v>
      </c>
      <c r="M57" s="776">
        <f t="shared" si="100"/>
        <v>56505.35955323527</v>
      </c>
      <c r="N57" s="776">
        <f t="shared" si="1"/>
        <v>47223.114692254276</v>
      </c>
      <c r="O57" s="776">
        <f t="shared" si="2"/>
        <v>7083.4672038381414</v>
      </c>
      <c r="P57" s="776">
        <f t="shared" si="3"/>
        <v>54306.581896092415</v>
      </c>
      <c r="Q57" s="776">
        <f>NCong!J95</f>
        <v>696.72307692307686</v>
      </c>
    </row>
    <row r="58" spans="1:17" s="769" customFormat="1" ht="11.25" customHeight="1">
      <c r="A58" s="771" t="str">
        <f>NCong!A113</f>
        <v>II</v>
      </c>
      <c r="B58" s="1100" t="str">
        <f>NCong!B113</f>
        <v>Đăng ký, cấp Giấy chứng nhận lần đầu đơn lẻ đối với hộ gia đình, cá nhân, cộng đồng dân cư, tổ chức trong nước, người gốc Việt Nam định cư ở nước ngoài tại địa bàn xã, phường</v>
      </c>
      <c r="C58" s="1099"/>
      <c r="D58" s="1099"/>
      <c r="E58" s="1099"/>
      <c r="F58" s="1099"/>
      <c r="G58" s="1099"/>
      <c r="H58" s="1099"/>
      <c r="I58" s="1099"/>
      <c r="J58" s="1099"/>
      <c r="K58" s="1099"/>
      <c r="L58" s="1099"/>
      <c r="M58" s="1099"/>
      <c r="N58" s="1099"/>
      <c r="O58" s="1099"/>
      <c r="P58" s="1099"/>
      <c r="Q58" s="783"/>
    </row>
    <row r="59" spans="1:17" s="769" customFormat="1" ht="11.25" customHeight="1">
      <c r="A59" s="771" t="s">
        <v>19</v>
      </c>
      <c r="B59" s="774" t="s">
        <v>748</v>
      </c>
      <c r="C59" s="775"/>
      <c r="D59" s="775"/>
      <c r="E59" s="775"/>
      <c r="F59" s="775"/>
      <c r="G59" s="775"/>
      <c r="H59" s="775"/>
      <c r="I59" s="775"/>
      <c r="J59" s="775"/>
      <c r="K59" s="775"/>
      <c r="L59" s="775"/>
      <c r="M59" s="775"/>
      <c r="N59" s="775"/>
      <c r="O59" s="775"/>
      <c r="P59" s="775"/>
      <c r="Q59" s="783"/>
    </row>
    <row r="60" spans="1:17" s="769" customFormat="1" ht="11.25" customHeight="1">
      <c r="A60" s="771" t="s">
        <v>819</v>
      </c>
      <c r="B60" s="834" t="s">
        <v>820</v>
      </c>
      <c r="C60" s="775"/>
      <c r="D60" s="775"/>
      <c r="E60" s="775"/>
      <c r="F60" s="775"/>
      <c r="G60" s="775"/>
      <c r="H60" s="775"/>
      <c r="I60" s="775"/>
      <c r="J60" s="775"/>
      <c r="K60" s="775"/>
      <c r="L60" s="775"/>
      <c r="M60" s="775"/>
      <c r="N60" s="775"/>
      <c r="O60" s="775"/>
      <c r="P60" s="775"/>
      <c r="Q60" s="783"/>
    </row>
    <row r="61" spans="1:17" s="770" customFormat="1">
      <c r="A61" s="1084" t="s">
        <v>526</v>
      </c>
      <c r="B61" s="1086" t="s">
        <v>697</v>
      </c>
      <c r="C61" s="1084" t="s">
        <v>51</v>
      </c>
      <c r="D61" s="771">
        <v>1</v>
      </c>
      <c r="E61" s="776">
        <f t="shared" ref="E61:J61" si="101">E106+E$109</f>
        <v>1530327.6780000001</v>
      </c>
      <c r="F61" s="776">
        <f t="shared" si="101"/>
        <v>105881.29999999999</v>
      </c>
      <c r="G61" s="776">
        <f t="shared" si="101"/>
        <v>16097.225333333336</v>
      </c>
      <c r="H61" s="776">
        <f t="shared" si="101"/>
        <v>43976</v>
      </c>
      <c r="I61" s="776">
        <f t="shared" si="101"/>
        <v>7693.2133571428576</v>
      </c>
      <c r="J61" s="776">
        <f t="shared" si="101"/>
        <v>13881.224700000001</v>
      </c>
      <c r="K61" s="776">
        <f>SUM(E61:J61)</f>
        <v>1717856.6413904761</v>
      </c>
      <c r="L61" s="776">
        <f>K61*15%</f>
        <v>257678.49620857142</v>
      </c>
      <c r="M61" s="776">
        <f>K61+L61</f>
        <v>1975535.1375990475</v>
      </c>
      <c r="N61" s="776">
        <f>K61-I61</f>
        <v>1710163.4280333333</v>
      </c>
      <c r="O61" s="776">
        <f>$L$6*N61</f>
        <v>256524.51420499998</v>
      </c>
      <c r="P61" s="776">
        <f>N61+O61</f>
        <v>1966687.9422383332</v>
      </c>
      <c r="Q61" s="776">
        <f t="shared" ref="Q61:Q63" si="102">Q106+Q$109</f>
        <v>45306.461538461532</v>
      </c>
    </row>
    <row r="62" spans="1:17" s="770" customFormat="1">
      <c r="A62" s="1084"/>
      <c r="B62" s="1086"/>
      <c r="C62" s="1084"/>
      <c r="D62" s="771" t="s">
        <v>33</v>
      </c>
      <c r="E62" s="776">
        <f>E107+E$109</f>
        <v>1585812.4754999999</v>
      </c>
      <c r="F62" s="776">
        <f>F107</f>
        <v>116469.43000000001</v>
      </c>
      <c r="G62" s="776">
        <f t="shared" ref="G62:J63" si="103">G107+G$109</f>
        <v>16097.225333333336</v>
      </c>
      <c r="H62" s="776">
        <f t="shared" si="103"/>
        <v>43976</v>
      </c>
      <c r="I62" s="776">
        <f t="shared" si="103"/>
        <v>7693.2133571428576</v>
      </c>
      <c r="J62" s="776">
        <f t="shared" si="103"/>
        <v>13881.224700000001</v>
      </c>
      <c r="K62" s="776">
        <f t="shared" ref="K62:K109" si="104">SUM(E62:J62)</f>
        <v>1783929.5688904759</v>
      </c>
      <c r="L62" s="776">
        <f t="shared" ref="L62:L109" si="105">K62*15%</f>
        <v>267589.4353335714</v>
      </c>
      <c r="M62" s="776">
        <f>K62+L62</f>
        <v>2051519.0042240473</v>
      </c>
      <c r="N62" s="776">
        <f t="shared" ref="N62:N66" si="106">K62-I62</f>
        <v>1776236.355533333</v>
      </c>
      <c r="O62" s="776">
        <f t="shared" ref="O62:O66" si="107">$L$6*N62</f>
        <v>266435.45332999993</v>
      </c>
      <c r="P62" s="776">
        <f t="shared" ref="P62:P66" si="108">N62+O62</f>
        <v>2042671.808863333</v>
      </c>
      <c r="Q62" s="776">
        <f t="shared" si="102"/>
        <v>47057.999999999993</v>
      </c>
    </row>
    <row r="63" spans="1:17" s="770" customFormat="1">
      <c r="A63" s="1084"/>
      <c r="B63" s="1086"/>
      <c r="C63" s="1084"/>
      <c r="D63" s="771" t="s">
        <v>34</v>
      </c>
      <c r="E63" s="776">
        <f>E108+E$109</f>
        <v>1646845.75275</v>
      </c>
      <c r="F63" s="776">
        <f>F108</f>
        <v>128116.37299999999</v>
      </c>
      <c r="G63" s="776">
        <f t="shared" si="103"/>
        <v>16097.225333333336</v>
      </c>
      <c r="H63" s="776">
        <f t="shared" si="103"/>
        <v>43976</v>
      </c>
      <c r="I63" s="776">
        <f t="shared" si="103"/>
        <v>7693.2133571428576</v>
      </c>
      <c r="J63" s="776">
        <f t="shared" si="103"/>
        <v>13881.224700000001</v>
      </c>
      <c r="K63" s="776">
        <f t="shared" si="104"/>
        <v>1856609.7891404759</v>
      </c>
      <c r="L63" s="776">
        <f t="shared" si="105"/>
        <v>278491.46837107139</v>
      </c>
      <c r="M63" s="776">
        <f>K63+L63</f>
        <v>2135101.2575115473</v>
      </c>
      <c r="N63" s="776">
        <f t="shared" si="106"/>
        <v>1848916.575783333</v>
      </c>
      <c r="O63" s="776">
        <f t="shared" si="107"/>
        <v>277337.48636749992</v>
      </c>
      <c r="P63" s="776">
        <f t="shared" si="108"/>
        <v>2126254.0621508332</v>
      </c>
      <c r="Q63" s="776">
        <f t="shared" si="102"/>
        <v>48984.692307692298</v>
      </c>
    </row>
    <row r="64" spans="1:17" s="770" customFormat="1">
      <c r="A64" s="1084" t="s">
        <v>531</v>
      </c>
      <c r="B64" s="1086" t="s">
        <v>698</v>
      </c>
      <c r="C64" s="1084" t="s">
        <v>51</v>
      </c>
      <c r="D64" s="771">
        <v>1</v>
      </c>
      <c r="E64" s="776">
        <f>NCong!M114+NCong!M194</f>
        <v>2216111.1225000001</v>
      </c>
      <c r="F64" s="776">
        <f>NCong!M115</f>
        <v>137645.69</v>
      </c>
      <c r="G64" s="776">
        <f>G61*1.3</f>
        <v>20926.392933333336</v>
      </c>
      <c r="H64" s="776">
        <f>H61</f>
        <v>43976</v>
      </c>
      <c r="I64" s="776">
        <f>I61*1.3</f>
        <v>10001.177364285715</v>
      </c>
      <c r="J64" s="776">
        <f>J61*1.3</f>
        <v>18045.592110000001</v>
      </c>
      <c r="K64" s="776">
        <f t="shared" si="104"/>
        <v>2446705.9749076189</v>
      </c>
      <c r="L64" s="776">
        <f t="shared" si="105"/>
        <v>367005.89623614284</v>
      </c>
      <c r="M64" s="776">
        <f t="shared" ref="M64:M66" si="109">K64+L64</f>
        <v>2813711.871143762</v>
      </c>
      <c r="N64" s="776">
        <f t="shared" si="106"/>
        <v>2436704.7975433334</v>
      </c>
      <c r="O64" s="776">
        <f t="shared" si="107"/>
        <v>365505.71963150002</v>
      </c>
      <c r="P64" s="776">
        <f t="shared" si="108"/>
        <v>2802210.5171748335</v>
      </c>
      <c r="Q64" s="776">
        <f>NCong!P114+NCong!P194</f>
        <v>65838.384615384595</v>
      </c>
    </row>
    <row r="65" spans="1:17" s="770" customFormat="1">
      <c r="A65" s="1084"/>
      <c r="B65" s="1086"/>
      <c r="C65" s="1084"/>
      <c r="D65" s="771" t="s">
        <v>33</v>
      </c>
      <c r="E65" s="776">
        <f>NCong!M116+NCong!M194</f>
        <v>2288241.3592500002</v>
      </c>
      <c r="F65" s="776">
        <f>NCong!M117</f>
        <v>151410.25899999999</v>
      </c>
      <c r="G65" s="776">
        <f t="shared" ref="G65:G66" si="110">G62*1.3</f>
        <v>20926.392933333336</v>
      </c>
      <c r="H65" s="776">
        <f t="shared" ref="H65:H66" si="111">H62</f>
        <v>43976</v>
      </c>
      <c r="I65" s="776">
        <f t="shared" ref="I65:J66" si="112">I62*1.3</f>
        <v>10001.177364285715</v>
      </c>
      <c r="J65" s="776">
        <f t="shared" si="112"/>
        <v>18045.592110000001</v>
      </c>
      <c r="K65" s="776">
        <f t="shared" si="104"/>
        <v>2532600.7806576192</v>
      </c>
      <c r="L65" s="776">
        <f t="shared" si="105"/>
        <v>379890.11709864286</v>
      </c>
      <c r="M65" s="776">
        <f t="shared" si="109"/>
        <v>2912490.8977562622</v>
      </c>
      <c r="N65" s="776">
        <f t="shared" si="106"/>
        <v>2522599.6032933337</v>
      </c>
      <c r="O65" s="776">
        <f t="shared" si="107"/>
        <v>378389.94049400004</v>
      </c>
      <c r="P65" s="776">
        <f t="shared" si="108"/>
        <v>2900989.5437873336</v>
      </c>
      <c r="Q65" s="776">
        <f>NCong!P116+NCong!P194</f>
        <v>68115.384615384595</v>
      </c>
    </row>
    <row r="66" spans="1:17" s="770" customFormat="1">
      <c r="A66" s="1084"/>
      <c r="B66" s="1086"/>
      <c r="C66" s="1084"/>
      <c r="D66" s="771" t="s">
        <v>34</v>
      </c>
      <c r="E66" s="776">
        <f>NCong!M118+NCong!M194</f>
        <v>2367769.5690000001</v>
      </c>
      <c r="F66" s="776">
        <f>NCong!M119</f>
        <v>166536.15899999999</v>
      </c>
      <c r="G66" s="776">
        <f t="shared" si="110"/>
        <v>20926.392933333336</v>
      </c>
      <c r="H66" s="776">
        <f t="shared" si="111"/>
        <v>43976</v>
      </c>
      <c r="I66" s="776">
        <f t="shared" si="112"/>
        <v>10001.177364285715</v>
      </c>
      <c r="J66" s="776">
        <f t="shared" si="112"/>
        <v>18045.592110000001</v>
      </c>
      <c r="K66" s="776">
        <f t="shared" si="104"/>
        <v>2627254.8904076191</v>
      </c>
      <c r="L66" s="776">
        <f t="shared" si="105"/>
        <v>394088.23356114287</v>
      </c>
      <c r="M66" s="776">
        <f t="shared" si="109"/>
        <v>3021343.1239687619</v>
      </c>
      <c r="N66" s="776">
        <f t="shared" si="106"/>
        <v>2617253.7130433335</v>
      </c>
      <c r="O66" s="776">
        <f t="shared" si="107"/>
        <v>392588.05695649999</v>
      </c>
      <c r="P66" s="776">
        <f t="shared" si="108"/>
        <v>3009841.7699998333</v>
      </c>
      <c r="Q66" s="776">
        <f>NCong!P118+NCong!P194</f>
        <v>70625.923076923049</v>
      </c>
    </row>
    <row r="67" spans="1:17" s="770" customFormat="1">
      <c r="A67" s="771" t="s">
        <v>821</v>
      </c>
      <c r="B67" s="834" t="s">
        <v>822</v>
      </c>
      <c r="C67" s="771"/>
      <c r="D67" s="771"/>
      <c r="E67" s="776"/>
      <c r="F67" s="776"/>
      <c r="G67" s="776"/>
      <c r="H67" s="776"/>
      <c r="I67" s="776"/>
      <c r="J67" s="776"/>
      <c r="K67" s="776"/>
      <c r="L67" s="776"/>
      <c r="M67" s="776"/>
      <c r="N67" s="776"/>
      <c r="O67" s="776"/>
      <c r="P67" s="776"/>
      <c r="Q67" s="776"/>
    </row>
    <row r="68" spans="1:17" s="825" customFormat="1">
      <c r="A68" s="1091" t="s">
        <v>526</v>
      </c>
      <c r="B68" s="1092" t="s">
        <v>697</v>
      </c>
      <c r="C68" s="1091" t="s">
        <v>51</v>
      </c>
      <c r="D68" s="823">
        <v>1</v>
      </c>
      <c r="E68" s="824">
        <f>NCong!K120+NCong!K194</f>
        <v>1458222.6780000001</v>
      </c>
      <c r="F68" s="824">
        <f>NCong!K121</f>
        <v>105881.29999999999</v>
      </c>
      <c r="G68" s="824">
        <f>G61</f>
        <v>16097.225333333336</v>
      </c>
      <c r="H68" s="824">
        <f t="shared" ref="H68:J68" si="113">H61</f>
        <v>43976</v>
      </c>
      <c r="I68" s="824">
        <f t="shared" si="113"/>
        <v>7693.2133571428576</v>
      </c>
      <c r="J68" s="824">
        <f t="shared" si="113"/>
        <v>13881.224700000001</v>
      </c>
      <c r="K68" s="824">
        <f t="shared" ref="K68:K70" si="114">SUM(E68:J68)</f>
        <v>1645751.6413904761</v>
      </c>
      <c r="L68" s="824">
        <f t="shared" ref="L68:L73" si="115">K68*15%</f>
        <v>246862.74620857142</v>
      </c>
      <c r="M68" s="824">
        <f t="shared" ref="M68:M70" si="116">K68+L68</f>
        <v>1892614.3875990475</v>
      </c>
      <c r="N68" s="824">
        <f t="shared" ref="N68:N70" si="117">K68-I68</f>
        <v>1638058.4280333333</v>
      </c>
      <c r="O68" s="824">
        <f t="shared" ref="O68:O73" si="118">$L$6*N68</f>
        <v>245708.76420499998</v>
      </c>
      <c r="P68" s="824">
        <f t="shared" ref="P68:P70" si="119">N68+O68</f>
        <v>1883767.1922383332</v>
      </c>
      <c r="Q68" s="824">
        <f>NCong!N120+NCong!N194</f>
        <v>43360.307692307688</v>
      </c>
    </row>
    <row r="69" spans="1:17" s="825" customFormat="1">
      <c r="A69" s="1091"/>
      <c r="B69" s="1092"/>
      <c r="C69" s="1091"/>
      <c r="D69" s="823" t="s">
        <v>33</v>
      </c>
      <c r="E69" s="824">
        <f>NCong!K122+NCong!K194</f>
        <v>1513707.4754999999</v>
      </c>
      <c r="F69" s="824">
        <f>NCong!K123</f>
        <v>116469.43000000001</v>
      </c>
      <c r="G69" s="824">
        <f t="shared" ref="G69:J70" si="120">G62</f>
        <v>16097.225333333336</v>
      </c>
      <c r="H69" s="824">
        <f t="shared" si="120"/>
        <v>43976</v>
      </c>
      <c r="I69" s="824">
        <f t="shared" si="120"/>
        <v>7693.2133571428576</v>
      </c>
      <c r="J69" s="824">
        <f t="shared" si="120"/>
        <v>13881.224700000001</v>
      </c>
      <c r="K69" s="824">
        <f t="shared" si="114"/>
        <v>1711824.5688904759</v>
      </c>
      <c r="L69" s="824">
        <f t="shared" si="115"/>
        <v>256773.68533357137</v>
      </c>
      <c r="M69" s="824">
        <f t="shared" si="116"/>
        <v>1968598.2542240473</v>
      </c>
      <c r="N69" s="824">
        <f t="shared" si="117"/>
        <v>1704131.355533333</v>
      </c>
      <c r="O69" s="824">
        <f t="shared" si="118"/>
        <v>255619.70332999993</v>
      </c>
      <c r="P69" s="824">
        <f t="shared" si="119"/>
        <v>1959751.058863333</v>
      </c>
      <c r="Q69" s="824">
        <f>NCong!N122+NCong!N194</f>
        <v>45111.846153846149</v>
      </c>
    </row>
    <row r="70" spans="1:17" s="825" customFormat="1">
      <c r="A70" s="1091"/>
      <c r="B70" s="1092"/>
      <c r="C70" s="1091"/>
      <c r="D70" s="823" t="s">
        <v>34</v>
      </c>
      <c r="E70" s="824">
        <f>NCong!K124+NCong!K194</f>
        <v>1574740.75275</v>
      </c>
      <c r="F70" s="824">
        <f>NCong!K125</f>
        <v>128116.37299999999</v>
      </c>
      <c r="G70" s="824">
        <f t="shared" si="120"/>
        <v>16097.225333333336</v>
      </c>
      <c r="H70" s="824">
        <f t="shared" si="120"/>
        <v>43976</v>
      </c>
      <c r="I70" s="824">
        <f t="shared" si="120"/>
        <v>7693.2133571428576</v>
      </c>
      <c r="J70" s="824">
        <f t="shared" si="120"/>
        <v>13881.224700000001</v>
      </c>
      <c r="K70" s="824">
        <f t="shared" si="114"/>
        <v>1784504.7891404759</v>
      </c>
      <c r="L70" s="824">
        <f t="shared" si="115"/>
        <v>267675.71837107139</v>
      </c>
      <c r="M70" s="824">
        <f t="shared" si="116"/>
        <v>2052180.5075115473</v>
      </c>
      <c r="N70" s="824">
        <f t="shared" si="117"/>
        <v>1776811.575783333</v>
      </c>
      <c r="O70" s="824">
        <f t="shared" si="118"/>
        <v>266521.73636749992</v>
      </c>
      <c r="P70" s="824">
        <f t="shared" si="119"/>
        <v>2043333.312150833</v>
      </c>
      <c r="Q70" s="824">
        <f>NCong!N124+NCong!N194</f>
        <v>47038.538461538454</v>
      </c>
    </row>
    <row r="71" spans="1:17" s="825" customFormat="1">
      <c r="A71" s="1091" t="s">
        <v>531</v>
      </c>
      <c r="B71" s="1092" t="s">
        <v>698</v>
      </c>
      <c r="C71" s="1091" t="s">
        <v>51</v>
      </c>
      <c r="D71" s="823">
        <v>1</v>
      </c>
      <c r="E71" s="824">
        <f>NCong!M120+NCong!M194</f>
        <v>2144006.1225000005</v>
      </c>
      <c r="F71" s="824">
        <f>NCong!M121</f>
        <v>137645.69</v>
      </c>
      <c r="G71" s="824">
        <f>G68*1.3</f>
        <v>20926.392933333336</v>
      </c>
      <c r="H71" s="824">
        <f>H68</f>
        <v>43976</v>
      </c>
      <c r="I71" s="824">
        <f>I68*1.3</f>
        <v>10001.177364285715</v>
      </c>
      <c r="J71" s="824">
        <f t="shared" ref="J71:J73" si="121">J68*1.3</f>
        <v>18045.592110000001</v>
      </c>
      <c r="K71" s="824">
        <f t="shared" ref="K71:K73" si="122">SUM(E71:J71)</f>
        <v>2374600.9749076194</v>
      </c>
      <c r="L71" s="824">
        <f t="shared" si="115"/>
        <v>356190.1462361429</v>
      </c>
      <c r="M71" s="824">
        <f t="shared" ref="M71:M73" si="123">K71+L71</f>
        <v>2730791.1211437625</v>
      </c>
      <c r="N71" s="824">
        <f t="shared" ref="N71:N73" si="124">K71-I71</f>
        <v>2364599.7975433338</v>
      </c>
      <c r="O71" s="824">
        <f t="shared" si="118"/>
        <v>354689.96963150008</v>
      </c>
      <c r="P71" s="824">
        <f t="shared" ref="P71:P73" si="125">N71+O71</f>
        <v>2719289.7671748339</v>
      </c>
      <c r="Q71" s="824">
        <f>NCong!P120+NCong!P194</f>
        <v>63892.230769230751</v>
      </c>
    </row>
    <row r="72" spans="1:17" s="825" customFormat="1">
      <c r="A72" s="1091"/>
      <c r="B72" s="1092"/>
      <c r="C72" s="1091"/>
      <c r="D72" s="823" t="s">
        <v>33</v>
      </c>
      <c r="E72" s="824">
        <f>NCong!M122+NCong!M194</f>
        <v>2216136.3592500002</v>
      </c>
      <c r="F72" s="824">
        <f>NCong!M123</f>
        <v>151410.25899999999</v>
      </c>
      <c r="G72" s="824">
        <f t="shared" ref="G72:G73" si="126">G69*1.3</f>
        <v>20926.392933333336</v>
      </c>
      <c r="H72" s="824">
        <f t="shared" ref="H72:H73" si="127">H69</f>
        <v>43976</v>
      </c>
      <c r="I72" s="824">
        <f t="shared" ref="I72" si="128">I69*1.3</f>
        <v>10001.177364285715</v>
      </c>
      <c r="J72" s="824">
        <f t="shared" si="121"/>
        <v>18045.592110000001</v>
      </c>
      <c r="K72" s="824">
        <f t="shared" si="122"/>
        <v>2460495.7806576192</v>
      </c>
      <c r="L72" s="824">
        <f t="shared" si="115"/>
        <v>369074.36709864286</v>
      </c>
      <c r="M72" s="824">
        <f t="shared" si="123"/>
        <v>2829570.1477562622</v>
      </c>
      <c r="N72" s="824">
        <f t="shared" si="124"/>
        <v>2450494.6032933337</v>
      </c>
      <c r="O72" s="824">
        <f t="shared" si="118"/>
        <v>367574.19049400004</v>
      </c>
      <c r="P72" s="824">
        <f t="shared" si="125"/>
        <v>2818068.7937873336</v>
      </c>
      <c r="Q72" s="824">
        <f>NCong!P122+NCong!P194</f>
        <v>66169.230769230751</v>
      </c>
    </row>
    <row r="73" spans="1:17" s="825" customFormat="1">
      <c r="A73" s="1091"/>
      <c r="B73" s="1092"/>
      <c r="C73" s="1091"/>
      <c r="D73" s="823" t="s">
        <v>34</v>
      </c>
      <c r="E73" s="824">
        <f>NCong!M124+NCong!M194</f>
        <v>2295664.5690000001</v>
      </c>
      <c r="F73" s="824">
        <f>NCong!M125</f>
        <v>166536.15899999999</v>
      </c>
      <c r="G73" s="824">
        <f t="shared" si="126"/>
        <v>20926.392933333336</v>
      </c>
      <c r="H73" s="824">
        <f t="shared" si="127"/>
        <v>43976</v>
      </c>
      <c r="I73" s="824">
        <f t="shared" ref="I73" si="129">I70*1.3</f>
        <v>10001.177364285715</v>
      </c>
      <c r="J73" s="824">
        <f t="shared" si="121"/>
        <v>18045.592110000001</v>
      </c>
      <c r="K73" s="824">
        <f t="shared" si="122"/>
        <v>2555149.8904076191</v>
      </c>
      <c r="L73" s="824">
        <f t="shared" si="115"/>
        <v>383272.48356114287</v>
      </c>
      <c r="M73" s="824">
        <f t="shared" si="123"/>
        <v>2938422.3739687619</v>
      </c>
      <c r="N73" s="824">
        <f t="shared" si="124"/>
        <v>2545148.7130433335</v>
      </c>
      <c r="O73" s="824">
        <f t="shared" si="118"/>
        <v>381772.30695649999</v>
      </c>
      <c r="P73" s="824">
        <f t="shared" si="125"/>
        <v>2926921.0199998333</v>
      </c>
      <c r="Q73" s="824">
        <f>NCong!P124+NCong!P194</f>
        <v>68679.769230769205</v>
      </c>
    </row>
    <row r="74" spans="1:17" s="770" customFormat="1">
      <c r="A74" s="1084" t="s">
        <v>571</v>
      </c>
      <c r="B74" s="1090" t="s">
        <v>710</v>
      </c>
      <c r="C74" s="1084" t="s">
        <v>51</v>
      </c>
      <c r="D74" s="771">
        <v>1</v>
      </c>
      <c r="E74" s="776">
        <f>0.3*(NCong!K141+NCong!K142+NCong!K145+NCong!K146+NCong!K148+NCong!K150+NCong!K163+NCong!K166+NCong!K167+NCong!K170+NCong!K172+NCong!K173+NCong!K175+NCong!K179+NCong!K183+NCong!K185+NCong!K186+NCong!K189+NCong!K192+NCong!K195)</f>
        <v>394536.92849999998</v>
      </c>
      <c r="F74" s="776">
        <f>0.3*F61</f>
        <v>31764.389999999996</v>
      </c>
      <c r="G74" s="776">
        <f t="shared" ref="G74:J76" si="130">G61*0.3</f>
        <v>4829.1676000000007</v>
      </c>
      <c r="H74" s="776">
        <f t="shared" si="130"/>
        <v>13192.8</v>
      </c>
      <c r="I74" s="776">
        <f t="shared" si="130"/>
        <v>2307.9640071428571</v>
      </c>
      <c r="J74" s="776">
        <f t="shared" si="130"/>
        <v>4164.3674099999998</v>
      </c>
      <c r="K74" s="776">
        <f>SUM(E74:J74)</f>
        <v>450795.61751714285</v>
      </c>
      <c r="L74" s="776">
        <f>K74*15%</f>
        <v>67619.34262757143</v>
      </c>
      <c r="M74" s="776">
        <f>K74+L74</f>
        <v>518414.96014471428</v>
      </c>
      <c r="N74" s="776">
        <f>K74-I74</f>
        <v>448487.65350999997</v>
      </c>
      <c r="O74" s="776">
        <f>$L$6*N74</f>
        <v>67273.148026499999</v>
      </c>
      <c r="P74" s="776">
        <f>N74+O74</f>
        <v>515760.80153649999</v>
      </c>
      <c r="Q74" s="776">
        <f>0.3*(NCong!N141+NCong!N142+NCong!N145+NCong!N146+NCong!N148+NCong!N150+NCong!N163+NCong!N166+NCong!N167+NCong!N170+NCong!N172+NCong!N173+NCong!N175+NCong!N179+NCong!N183+NCong!N185+NCong!N186+NCong!N189+NCong!N192+NCong!N195)</f>
        <v>11711.953846153845</v>
      </c>
    </row>
    <row r="75" spans="1:17" s="770" customFormat="1">
      <c r="A75" s="1084"/>
      <c r="B75" s="1090"/>
      <c r="C75" s="1084"/>
      <c r="D75" s="771" t="s">
        <v>33</v>
      </c>
      <c r="E75" s="776">
        <f>0.3*(NCong!K141+NCong!K142+NCong!K145+NCong!K146+NCong!K148+NCong!K152+NCong!K163+NCong!K166+NCong!K167+NCong!K170+NCong!K172+NCong!K173+NCong!K175+NCong!K179+NCong!K183+NCong!K185+NCong!K186+NCong!K189+NCong!K192+NCong!K195)</f>
        <v>411182.36775000003</v>
      </c>
      <c r="F75" s="776">
        <f>0.3*F62</f>
        <v>34940.828999999998</v>
      </c>
      <c r="G75" s="776">
        <f t="shared" si="130"/>
        <v>4829.1676000000007</v>
      </c>
      <c r="H75" s="776">
        <f t="shared" si="130"/>
        <v>13192.8</v>
      </c>
      <c r="I75" s="776">
        <f t="shared" si="130"/>
        <v>2307.9640071428571</v>
      </c>
      <c r="J75" s="776">
        <f t="shared" si="130"/>
        <v>4164.3674099999998</v>
      </c>
      <c r="K75" s="776">
        <f t="shared" ref="K75:K80" si="131">SUM(E75:J75)</f>
        <v>470617.49576714286</v>
      </c>
      <c r="L75" s="776">
        <f t="shared" ref="L75:L90" si="132">K75*15%</f>
        <v>70592.624365071431</v>
      </c>
      <c r="M75" s="776">
        <f t="shared" ref="M75:M80" si="133">K75+L75</f>
        <v>541210.12013221427</v>
      </c>
      <c r="N75" s="776">
        <f t="shared" ref="N75:N80" si="134">K75-I75</f>
        <v>468309.53175999998</v>
      </c>
      <c r="O75" s="776">
        <f t="shared" ref="O75:O90" si="135">$L$6*N75</f>
        <v>70246.429764</v>
      </c>
      <c r="P75" s="776">
        <f t="shared" ref="P75:P80" si="136">N75+O75</f>
        <v>538555.96152399993</v>
      </c>
      <c r="Q75" s="776">
        <f>0.3*(NCong!N141+NCong!N142+NCong!N145+NCong!N146+NCong!N148+NCong!N152+NCong!N163+NCong!N166+NCong!N167+NCong!N170+NCong!N172+NCong!N173+NCong!N175+NCong!N179+NCong!N183+NCong!N185+NCong!N186+NCong!N189+NCong!N192+NCong!N195)</f>
        <v>12237.41538461538</v>
      </c>
    </row>
    <row r="76" spans="1:17" s="770" customFormat="1">
      <c r="A76" s="1084"/>
      <c r="B76" s="1090"/>
      <c r="C76" s="1084"/>
      <c r="D76" s="771" t="s">
        <v>34</v>
      </c>
      <c r="E76" s="776">
        <f>0.3*(NCong!K141+NCong!K142+NCong!K145+NCong!K146+NCong!K148+NCong!K154+NCong!K163+NCong!K166+NCong!K167+NCong!K170+NCong!K172+NCong!K173+NCong!K175+NCong!K179+NCong!K183+NCong!K185+NCong!K186+NCong!K189+NCong!K192+NCong!K195)</f>
        <v>429492.35092500004</v>
      </c>
      <c r="F76" s="776">
        <f>0.3*F63</f>
        <v>38434.911899999999</v>
      </c>
      <c r="G76" s="776">
        <f t="shared" si="130"/>
        <v>4829.1676000000007</v>
      </c>
      <c r="H76" s="776">
        <f t="shared" si="130"/>
        <v>13192.8</v>
      </c>
      <c r="I76" s="776">
        <f t="shared" si="130"/>
        <v>2307.9640071428571</v>
      </c>
      <c r="J76" s="776">
        <f t="shared" si="130"/>
        <v>4164.3674099999998</v>
      </c>
      <c r="K76" s="776">
        <f t="shared" si="131"/>
        <v>492421.5618421429</v>
      </c>
      <c r="L76" s="776">
        <f t="shared" si="132"/>
        <v>73863.234276321426</v>
      </c>
      <c r="M76" s="776">
        <f t="shared" si="133"/>
        <v>566284.79611846432</v>
      </c>
      <c r="N76" s="776">
        <f t="shared" si="134"/>
        <v>490113.59783500002</v>
      </c>
      <c r="O76" s="776">
        <f t="shared" si="135"/>
        <v>73517.039675249995</v>
      </c>
      <c r="P76" s="776">
        <f t="shared" si="136"/>
        <v>563630.63751024997</v>
      </c>
      <c r="Q76" s="776">
        <f>0.3*(NCong!N141+NCong!N142+NCong!N145+NCong!N146+NCong!N148+NCong!N154+NCong!N163+NCong!N166+NCong!N167+NCong!N170+NCong!N172+NCong!N173+NCong!N175+NCong!N179+NCong!N183+NCong!N185+NCong!N186+NCong!N189+NCong!N192+NCong!N195)</f>
        <v>12815.423076923073</v>
      </c>
    </row>
    <row r="77" spans="1:17" s="770" customFormat="1" ht="14.25" customHeight="1">
      <c r="A77" s="771" t="s">
        <v>708</v>
      </c>
      <c r="B77" s="784" t="s">
        <v>702</v>
      </c>
      <c r="C77" s="771"/>
      <c r="D77" s="771"/>
      <c r="E77" s="776"/>
      <c r="F77" s="776"/>
      <c r="G77" s="776"/>
      <c r="H77" s="776"/>
      <c r="I77" s="776"/>
      <c r="J77" s="776"/>
      <c r="K77" s="776"/>
      <c r="L77" s="776"/>
      <c r="M77" s="776"/>
      <c r="N77" s="776"/>
      <c r="O77" s="776"/>
      <c r="P77" s="776"/>
      <c r="Q77" s="776"/>
    </row>
    <row r="78" spans="1:17" s="770" customFormat="1">
      <c r="A78" s="1089">
        <v>1</v>
      </c>
      <c r="B78" s="1085" t="s">
        <v>711</v>
      </c>
      <c r="C78" s="1084" t="s">
        <v>51</v>
      </c>
      <c r="D78" s="771">
        <v>1</v>
      </c>
      <c r="E78" s="776">
        <f>NCong!K140+NCong!K141+NCong!K142+NCong!K145+NCong!K146+NCong!K148+NCong!K150+NCong!K163+NCong!K166+NCong!K170+NCong!K173+NCong!K195</f>
        <v>862036.90649999992</v>
      </c>
      <c r="F78" s="776">
        <f>F61</f>
        <v>105881.29999999999</v>
      </c>
      <c r="G78" s="776">
        <f>G61*0.5</f>
        <v>8048.6126666666678</v>
      </c>
      <c r="H78" s="776">
        <f t="shared" ref="H78:J78" si="137">H61*0.5</f>
        <v>21988</v>
      </c>
      <c r="I78" s="776">
        <f t="shared" si="137"/>
        <v>3846.6066785714288</v>
      </c>
      <c r="J78" s="776">
        <f t="shared" si="137"/>
        <v>6940.6123500000003</v>
      </c>
      <c r="K78" s="776">
        <f t="shared" si="131"/>
        <v>1008742.0381952379</v>
      </c>
      <c r="L78" s="776">
        <f t="shared" si="132"/>
        <v>151311.30572928567</v>
      </c>
      <c r="M78" s="776">
        <f t="shared" si="133"/>
        <v>1160053.3439245236</v>
      </c>
      <c r="N78" s="776">
        <f t="shared" si="134"/>
        <v>1004895.4315166664</v>
      </c>
      <c r="O78" s="776">
        <f t="shared" si="135"/>
        <v>150734.31472749996</v>
      </c>
      <c r="P78" s="776">
        <f t="shared" si="136"/>
        <v>1155629.7462441665</v>
      </c>
      <c r="Q78" s="776">
        <f>NCong!N140+NCong!N141+NCong!N142+NCong!N145+NCong!N146+NCong!N148+NCong!N150+NCong!N163+NCong!N166+NCong!N170+NCong!N173+NCong!N195</f>
        <v>26312</v>
      </c>
    </row>
    <row r="79" spans="1:17" s="770" customFormat="1">
      <c r="A79" s="1089"/>
      <c r="B79" s="1085"/>
      <c r="C79" s="1084"/>
      <c r="D79" s="771" t="s">
        <v>33</v>
      </c>
      <c r="E79" s="776">
        <f>NCong!K140+NCong!K141+NCong!K142+NCong!K145+NCong!K146+NCong!K148+NCong!K152+NCong!K163+NCong!K166+NCong!K170+NCong!K173+NCong!K195</f>
        <v>917521.70400000003</v>
      </c>
      <c r="F79" s="776">
        <f>F62</f>
        <v>116469.43000000001</v>
      </c>
      <c r="G79" s="776">
        <f>G62*0.5</f>
        <v>8048.6126666666678</v>
      </c>
      <c r="H79" s="776">
        <f t="shared" ref="H79:J80" si="138">H62*0.5</f>
        <v>21988</v>
      </c>
      <c r="I79" s="776">
        <f t="shared" si="138"/>
        <v>3846.6066785714288</v>
      </c>
      <c r="J79" s="776">
        <f t="shared" si="138"/>
        <v>6940.6123500000003</v>
      </c>
      <c r="K79" s="776">
        <f t="shared" si="131"/>
        <v>1074814.965695238</v>
      </c>
      <c r="L79" s="776">
        <f t="shared" si="132"/>
        <v>161222.2448542857</v>
      </c>
      <c r="M79" s="776">
        <f t="shared" si="133"/>
        <v>1236037.2105495236</v>
      </c>
      <c r="N79" s="776">
        <f t="shared" si="134"/>
        <v>1070968.3590166667</v>
      </c>
      <c r="O79" s="776">
        <f t="shared" si="135"/>
        <v>160645.2538525</v>
      </c>
      <c r="P79" s="776">
        <f t="shared" si="136"/>
        <v>1231613.6128691668</v>
      </c>
      <c r="Q79" s="776">
        <f>NCong!N140+NCong!N141+NCong!N142+NCong!N145+NCong!N146+NCong!N148+NCong!N152+NCong!N163+NCong!N166+NCong!N170+NCong!N173+NCong!N195</f>
        <v>28063.538461538457</v>
      </c>
    </row>
    <row r="80" spans="1:17" s="770" customFormat="1">
      <c r="A80" s="1089"/>
      <c r="B80" s="1085"/>
      <c r="C80" s="1084"/>
      <c r="D80" s="771" t="s">
        <v>34</v>
      </c>
      <c r="E80" s="776">
        <f>NCong!K140+NCong!K141+NCong!K142+NCong!K145+NCong!K146+NCong!K148+NCong!K154+NCong!K163+NCong!K166+NCong!K170+NCong!K173+NCong!K195</f>
        <v>978554.98125000007</v>
      </c>
      <c r="F80" s="776">
        <f>F63</f>
        <v>128116.37299999999</v>
      </c>
      <c r="G80" s="776">
        <f>G63*0.5</f>
        <v>8048.6126666666678</v>
      </c>
      <c r="H80" s="776">
        <f t="shared" si="138"/>
        <v>21988</v>
      </c>
      <c r="I80" s="776">
        <f t="shared" si="138"/>
        <v>3846.6066785714288</v>
      </c>
      <c r="J80" s="776">
        <f t="shared" si="138"/>
        <v>6940.6123500000003</v>
      </c>
      <c r="K80" s="776">
        <f t="shared" si="131"/>
        <v>1147495.1859452382</v>
      </c>
      <c r="L80" s="776">
        <f t="shared" si="132"/>
        <v>172124.27789178572</v>
      </c>
      <c r="M80" s="776">
        <f t="shared" si="133"/>
        <v>1319619.4638370238</v>
      </c>
      <c r="N80" s="776">
        <f t="shared" si="134"/>
        <v>1143648.5792666669</v>
      </c>
      <c r="O80" s="776">
        <f t="shared" si="135"/>
        <v>171547.28689000002</v>
      </c>
      <c r="P80" s="776">
        <f t="shared" si="136"/>
        <v>1315195.866156667</v>
      </c>
      <c r="Q80" s="776">
        <f>NCong!N140+NCong!N141+NCong!N142+NCong!N145+NCong!N146+NCong!N148+NCong!N154+NCong!N163+NCong!N166+NCong!N170+NCong!N173+NCong!N195</f>
        <v>29990.230769230766</v>
      </c>
    </row>
    <row r="81" spans="1:17" s="770" customFormat="1">
      <c r="A81" s="1089">
        <v>2</v>
      </c>
      <c r="B81" s="1085" t="s">
        <v>712</v>
      </c>
      <c r="C81" s="1084" t="s">
        <v>51</v>
      </c>
      <c r="D81" s="771">
        <v>1</v>
      </c>
      <c r="E81" s="776">
        <f>NCong!M140+NCong!M141+NCong!M142+NCong!M145+NCong!M146+NCong!M148+NCong!M150+NCong!M163+NCong!M166+NCong!M170+NCong!M173+NCong!M195</f>
        <v>1440355.0589999999</v>
      </c>
      <c r="F81" s="776">
        <f>NCong!M115</f>
        <v>137645.69</v>
      </c>
      <c r="G81" s="776">
        <f>G78*1.3</f>
        <v>10463.196466666668</v>
      </c>
      <c r="H81" s="776">
        <f>H78</f>
        <v>21988</v>
      </c>
      <c r="I81" s="776">
        <f>I78*1.3</f>
        <v>5000.5886821428576</v>
      </c>
      <c r="J81" s="776">
        <f>J78*1.3</f>
        <v>9022.7960550000007</v>
      </c>
      <c r="K81" s="776">
        <f t="shared" ref="K81:K83" si="139">SUM(E81:J81)</f>
        <v>1624475.3302038093</v>
      </c>
      <c r="L81" s="776">
        <f t="shared" si="132"/>
        <v>243671.29953057138</v>
      </c>
      <c r="M81" s="776">
        <f t="shared" ref="M81:M83" si="140">K81+L81</f>
        <v>1868146.6297343806</v>
      </c>
      <c r="N81" s="776">
        <f t="shared" ref="N81:N83" si="141">K81-I81</f>
        <v>1619474.7415216665</v>
      </c>
      <c r="O81" s="776">
        <f t="shared" si="135"/>
        <v>242921.21122824997</v>
      </c>
      <c r="P81" s="776">
        <f t="shared" ref="P81:P83" si="142">N81+O81</f>
        <v>1862395.9527499166</v>
      </c>
      <c r="Q81" s="776">
        <f>NCong!P140+NCong!P141+NCong!P142+NCong!P145+NCong!P146+NCong!P148+NCong!P150+NCong!P163+NCong!P166+NCong!P170+NCong!P173+NCong!P195</f>
        <v>43866.307692307681</v>
      </c>
    </row>
    <row r="82" spans="1:17" s="770" customFormat="1">
      <c r="A82" s="1089"/>
      <c r="B82" s="1085"/>
      <c r="C82" s="1084"/>
      <c r="D82" s="771" t="s">
        <v>33</v>
      </c>
      <c r="E82" s="776">
        <f>NCong!M140+NCong!M141+NCong!M142+NCong!M145+NCong!M146+NCong!M148+NCong!M152+NCong!M163+NCong!M166+NCong!M170+NCong!M173+NCong!M195</f>
        <v>1512485.29575</v>
      </c>
      <c r="F82" s="776">
        <f>NCong!M117</f>
        <v>151410.25899999999</v>
      </c>
      <c r="G82" s="776">
        <f t="shared" ref="G82:G83" si="143">G79*1.3</f>
        <v>10463.196466666668</v>
      </c>
      <c r="H82" s="776">
        <f t="shared" ref="H82:H83" si="144">H79</f>
        <v>21988</v>
      </c>
      <c r="I82" s="776">
        <f t="shared" ref="I82:J83" si="145">I79*1.3</f>
        <v>5000.5886821428576</v>
      </c>
      <c r="J82" s="776">
        <f t="shared" si="145"/>
        <v>9022.7960550000007</v>
      </c>
      <c r="K82" s="776">
        <f t="shared" si="139"/>
        <v>1710370.1359538096</v>
      </c>
      <c r="L82" s="776">
        <f t="shared" si="132"/>
        <v>256555.52039307143</v>
      </c>
      <c r="M82" s="776">
        <f t="shared" si="140"/>
        <v>1966925.6563468811</v>
      </c>
      <c r="N82" s="776">
        <f t="shared" si="141"/>
        <v>1705369.5472716668</v>
      </c>
      <c r="O82" s="776">
        <f t="shared" si="135"/>
        <v>255805.43209075002</v>
      </c>
      <c r="P82" s="776">
        <f t="shared" si="142"/>
        <v>1961174.9793624168</v>
      </c>
      <c r="Q82" s="776">
        <f>NCong!P140+NCong!P141+NCong!P142+NCong!P145+NCong!P146+NCong!P148+NCong!P152+NCong!P163+NCong!P166+NCong!P170+NCong!P173+NCong!P195</f>
        <v>46143.307692307681</v>
      </c>
    </row>
    <row r="83" spans="1:17" s="770" customFormat="1">
      <c r="A83" s="1089"/>
      <c r="B83" s="1085"/>
      <c r="C83" s="1084"/>
      <c r="D83" s="771" t="s">
        <v>34</v>
      </c>
      <c r="E83" s="776">
        <f>NCong!M140+NCong!M141+NCong!M142+NCong!M145+NCong!M146+NCong!M148+NCong!M154+NCong!M163+NCong!M166+NCong!M170+NCong!M173+NCong!M195</f>
        <v>1592013.5055</v>
      </c>
      <c r="F83" s="776">
        <f>NCong!M119</f>
        <v>166536.15899999999</v>
      </c>
      <c r="G83" s="776">
        <f t="shared" si="143"/>
        <v>10463.196466666668</v>
      </c>
      <c r="H83" s="776">
        <f t="shared" si="144"/>
        <v>21988</v>
      </c>
      <c r="I83" s="776">
        <f t="shared" si="145"/>
        <v>5000.5886821428576</v>
      </c>
      <c r="J83" s="776">
        <f t="shared" si="145"/>
        <v>9022.7960550000007</v>
      </c>
      <c r="K83" s="776">
        <f t="shared" si="139"/>
        <v>1805024.2457038094</v>
      </c>
      <c r="L83" s="776">
        <f t="shared" si="132"/>
        <v>270753.63685557141</v>
      </c>
      <c r="M83" s="776">
        <f t="shared" si="140"/>
        <v>2075777.882559381</v>
      </c>
      <c r="N83" s="776">
        <f t="shared" si="141"/>
        <v>1800023.6570216666</v>
      </c>
      <c r="O83" s="776">
        <f t="shared" si="135"/>
        <v>270003.54855324997</v>
      </c>
      <c r="P83" s="776">
        <f t="shared" si="142"/>
        <v>2070027.2055749167</v>
      </c>
      <c r="Q83" s="776">
        <f>NCong!P140+NCong!P141+NCong!P142+NCong!P145+NCong!P146+NCong!P148+NCong!P154+NCong!P163+NCong!P166+NCong!P170+NCong!P173+NCong!P195</f>
        <v>48653.846153846149</v>
      </c>
    </row>
    <row r="84" spans="1:17" s="770" customFormat="1" ht="14">
      <c r="A84" s="771" t="s">
        <v>709</v>
      </c>
      <c r="B84" s="784" t="s">
        <v>714</v>
      </c>
      <c r="C84" s="771"/>
      <c r="D84" s="771"/>
      <c r="E84" s="776"/>
      <c r="F84" s="776"/>
      <c r="G84" s="776"/>
      <c r="H84" s="776"/>
      <c r="I84" s="776"/>
      <c r="J84" s="776"/>
      <c r="K84" s="776"/>
      <c r="L84" s="776"/>
      <c r="M84" s="776"/>
      <c r="N84" s="776"/>
      <c r="O84" s="776"/>
      <c r="P84" s="776"/>
      <c r="Q84" s="776"/>
    </row>
    <row r="85" spans="1:17" s="770" customFormat="1">
      <c r="A85" s="1089">
        <v>1</v>
      </c>
      <c r="B85" s="1085" t="s">
        <v>704</v>
      </c>
      <c r="C85" s="1084" t="s">
        <v>51</v>
      </c>
      <c r="D85" s="771">
        <v>1</v>
      </c>
      <c r="E85" s="776">
        <f>NCong!K141+NCong!K150+NCong!K167+NCong!K175+NCong!K179+NCong!K183+NCong!K185+NCong!K186+NCong!K189+NCong!K190+NCong!K191+NCong!K194</f>
        <v>1035846.0089999998</v>
      </c>
      <c r="F85" s="776">
        <f t="shared" ref="F85:F90" si="146">F61</f>
        <v>105881.29999999999</v>
      </c>
      <c r="G85" s="776">
        <f>G61*0.9</f>
        <v>14487.502800000002</v>
      </c>
      <c r="H85" s="776">
        <f t="shared" ref="H85:J85" si="147">H61*0.9</f>
        <v>39578.400000000001</v>
      </c>
      <c r="I85" s="776">
        <f t="shared" si="147"/>
        <v>6923.8920214285718</v>
      </c>
      <c r="J85" s="776">
        <f t="shared" si="147"/>
        <v>12493.10223</v>
      </c>
      <c r="K85" s="776">
        <f t="shared" ref="K85" si="148">SUM(E85:J85)</f>
        <v>1215210.2060514283</v>
      </c>
      <c r="L85" s="776">
        <f t="shared" si="132"/>
        <v>182281.53090771424</v>
      </c>
      <c r="M85" s="776">
        <f t="shared" ref="M85" si="149">K85+L85</f>
        <v>1397491.7369591426</v>
      </c>
      <c r="N85" s="776">
        <f t="shared" ref="N85" si="150">K85-I85</f>
        <v>1208286.3140299998</v>
      </c>
      <c r="O85" s="776">
        <f t="shared" si="135"/>
        <v>181242.94710449997</v>
      </c>
      <c r="P85" s="776">
        <f t="shared" ref="P85" si="151">N85+O85</f>
        <v>1389529.2611344997</v>
      </c>
      <c r="Q85" s="776">
        <f>NCong!N141+NCong!N150+NCong!N167+NCong!N175+NCong!N179+NCong!N183+NCong!N185+NCong!N186+NCong!N189+NCong!N190+NCong!N191+NCong!N194</f>
        <v>30866</v>
      </c>
    </row>
    <row r="86" spans="1:17" s="770" customFormat="1">
      <c r="A86" s="1089"/>
      <c r="B86" s="1085"/>
      <c r="C86" s="1084"/>
      <c r="D86" s="771" t="s">
        <v>33</v>
      </c>
      <c r="E86" s="776">
        <f>NCong!K141+NCong!K152+NCong!K167+NCong!K175+NCong!K179+NCong!K183+NCong!K185+NCong!K186+NCong!K189+NCong!K190+NCong!K191+NCong!K194</f>
        <v>1091330.8064999999</v>
      </c>
      <c r="F86" s="776">
        <f t="shared" si="146"/>
        <v>116469.43000000001</v>
      </c>
      <c r="G86" s="776">
        <f>G62*0.9</f>
        <v>14487.502800000002</v>
      </c>
      <c r="H86" s="776">
        <f t="shared" ref="H86:J87" si="152">H62*0.9</f>
        <v>39578.400000000001</v>
      </c>
      <c r="I86" s="776">
        <f t="shared" si="152"/>
        <v>6923.8920214285718</v>
      </c>
      <c r="J86" s="776">
        <f t="shared" si="152"/>
        <v>12493.10223</v>
      </c>
      <c r="K86" s="776">
        <f t="shared" ref="K86:K90" si="153">SUM(E86:J86)</f>
        <v>1281283.1335514283</v>
      </c>
      <c r="L86" s="776">
        <f t="shared" si="132"/>
        <v>192192.47003271425</v>
      </c>
      <c r="M86" s="776">
        <f t="shared" ref="M86:M90" si="154">K86+L86</f>
        <v>1473475.6035841426</v>
      </c>
      <c r="N86" s="776">
        <f t="shared" ref="N86:N90" si="155">K86-I86</f>
        <v>1274359.2415299998</v>
      </c>
      <c r="O86" s="776">
        <f t="shared" si="135"/>
        <v>191153.88622949997</v>
      </c>
      <c r="P86" s="776">
        <f t="shared" ref="P86:P90" si="156">N86+O86</f>
        <v>1465513.1277594997</v>
      </c>
      <c r="Q86" s="776">
        <f>NCong!N141+NCong!N152+NCong!N167+NCong!N175+NCong!N179+NCong!N183+NCong!N185+NCong!N186+NCong!N189+NCong!N190+NCong!N191+NCong!N194</f>
        <v>32617.538461538454</v>
      </c>
    </row>
    <row r="87" spans="1:17" s="770" customFormat="1">
      <c r="A87" s="1089"/>
      <c r="B87" s="1085"/>
      <c r="C87" s="1084"/>
      <c r="D87" s="771" t="s">
        <v>34</v>
      </c>
      <c r="E87" s="776">
        <f>NCong!K141+NCong!K154+NCong!K167+NCong!K175+NCong!K179+NCong!K183+NCong!K185+NCong!K186+NCong!K189+NCong!K190+NCong!K191+NCong!K194</f>
        <v>1152364.08375</v>
      </c>
      <c r="F87" s="776">
        <f t="shared" si="146"/>
        <v>128116.37299999999</v>
      </c>
      <c r="G87" s="776">
        <f>G63*0.9</f>
        <v>14487.502800000002</v>
      </c>
      <c r="H87" s="776">
        <f t="shared" si="152"/>
        <v>39578.400000000001</v>
      </c>
      <c r="I87" s="776">
        <f t="shared" si="152"/>
        <v>6923.8920214285718</v>
      </c>
      <c r="J87" s="776">
        <f t="shared" si="152"/>
        <v>12493.10223</v>
      </c>
      <c r="K87" s="776">
        <f t="shared" si="153"/>
        <v>1353963.3538014283</v>
      </c>
      <c r="L87" s="776">
        <f t="shared" si="132"/>
        <v>203094.50307021424</v>
      </c>
      <c r="M87" s="776">
        <f t="shared" si="154"/>
        <v>1557057.8568716426</v>
      </c>
      <c r="N87" s="776">
        <f t="shared" si="155"/>
        <v>1347039.4617799998</v>
      </c>
      <c r="O87" s="776">
        <f t="shared" si="135"/>
        <v>202055.91926699996</v>
      </c>
      <c r="P87" s="776">
        <f t="shared" si="156"/>
        <v>1549095.3810469997</v>
      </c>
      <c r="Q87" s="776">
        <f>NCong!N141+NCong!N154+NCong!N167+NCong!N175+NCong!N179+NCong!N183+NCong!N185+NCong!N186+NCong!N189+NCong!N190+NCong!N191+NCong!N194</f>
        <v>34544.230769230766</v>
      </c>
    </row>
    <row r="88" spans="1:17" s="770" customFormat="1">
      <c r="A88" s="1089">
        <v>2</v>
      </c>
      <c r="B88" s="1085" t="s">
        <v>713</v>
      </c>
      <c r="C88" s="1084" t="s">
        <v>51</v>
      </c>
      <c r="D88" s="771">
        <v>1</v>
      </c>
      <c r="E88" s="776">
        <f>NCong!M141+NCong!M150+NCong!M167+NCong!M175+NCong!M179+NCong!M183+NCong!M185+NCong!M186+NCong!M189+NCong!M190+NCong!M191+NCong!M194</f>
        <v>1642638.4260000002</v>
      </c>
      <c r="F88" s="776">
        <f t="shared" si="146"/>
        <v>137645.69</v>
      </c>
      <c r="G88" s="776">
        <f>G85*1.3</f>
        <v>18833.753640000003</v>
      </c>
      <c r="H88" s="776">
        <f>H85</f>
        <v>39578.400000000001</v>
      </c>
      <c r="I88" s="776">
        <f>I85*1.3</f>
        <v>9001.0596278571429</v>
      </c>
      <c r="J88" s="776">
        <f>J85*1.3</f>
        <v>16241.032899000002</v>
      </c>
      <c r="K88" s="776">
        <f t="shared" si="153"/>
        <v>1863938.3621668571</v>
      </c>
      <c r="L88" s="776">
        <f t="shared" si="132"/>
        <v>279590.75432502857</v>
      </c>
      <c r="M88" s="776">
        <f t="shared" si="154"/>
        <v>2143529.1164918859</v>
      </c>
      <c r="N88" s="776">
        <f t="shared" si="155"/>
        <v>1854937.3025390001</v>
      </c>
      <c r="O88" s="776">
        <f t="shared" si="135"/>
        <v>278240.59538085002</v>
      </c>
      <c r="P88" s="776">
        <f t="shared" si="156"/>
        <v>2133177.89791985</v>
      </c>
      <c r="Q88" s="776">
        <f>NCong!P141+NCong!P150+NCong!P167+NCong!P175+NCong!P179+NCong!P183+NCong!P185+NCong!P186+NCong!P189+NCong!P190+NCong!P191+NCong!P194</f>
        <v>49120.923076923071</v>
      </c>
    </row>
    <row r="89" spans="1:17" s="770" customFormat="1">
      <c r="A89" s="1089"/>
      <c r="B89" s="1085"/>
      <c r="C89" s="1084"/>
      <c r="D89" s="771" t="s">
        <v>33</v>
      </c>
      <c r="E89" s="776">
        <f>NCong!M141+NCong!M152+NCong!M167+NCong!M175+NCong!M179+NCong!M183+NCong!M185+NCong!M186+NCong!M189+NCong!M190+NCong!M191+NCong!M194</f>
        <v>1714768.6627500004</v>
      </c>
      <c r="F89" s="776">
        <f t="shared" si="146"/>
        <v>151410.25899999999</v>
      </c>
      <c r="G89" s="776">
        <f t="shared" ref="G89:G90" si="157">G86*1.3</f>
        <v>18833.753640000003</v>
      </c>
      <c r="H89" s="776">
        <f t="shared" ref="H89:H90" si="158">H86</f>
        <v>39578.400000000001</v>
      </c>
      <c r="I89" s="776">
        <f t="shared" ref="I89:J90" si="159">I86*1.3</f>
        <v>9001.0596278571429</v>
      </c>
      <c r="J89" s="776">
        <f t="shared" si="159"/>
        <v>16241.032899000002</v>
      </c>
      <c r="K89" s="776">
        <f t="shared" si="153"/>
        <v>1949833.1679168574</v>
      </c>
      <c r="L89" s="776">
        <f t="shared" si="132"/>
        <v>292474.97518752859</v>
      </c>
      <c r="M89" s="776">
        <f t="shared" si="154"/>
        <v>2242308.1431043861</v>
      </c>
      <c r="N89" s="776">
        <f t="shared" si="155"/>
        <v>1940832.1082890003</v>
      </c>
      <c r="O89" s="776">
        <f t="shared" si="135"/>
        <v>291124.81624335004</v>
      </c>
      <c r="P89" s="776">
        <f t="shared" si="156"/>
        <v>2231956.9245323502</v>
      </c>
      <c r="Q89" s="776">
        <f>NCong!P141+NCong!P152+NCong!P167+NCong!P175+NCong!P179+NCong!P183+NCong!P185+NCong!P186+NCong!P189+NCong!P190+NCong!P191+NCong!P194</f>
        <v>51397.923076923071</v>
      </c>
    </row>
    <row r="90" spans="1:17" s="770" customFormat="1">
      <c r="A90" s="1089"/>
      <c r="B90" s="1085"/>
      <c r="C90" s="1084"/>
      <c r="D90" s="771" t="s">
        <v>34</v>
      </c>
      <c r="E90" s="776">
        <f>NCong!M141+NCong!M154+NCong!M167+NCong!M175+NCong!M179+NCong!M183+NCong!M185+NCong!M186+NCong!M189+NCong!M190+NCong!M191+NCong!M194</f>
        <v>1794296.8725000003</v>
      </c>
      <c r="F90" s="776">
        <f t="shared" si="146"/>
        <v>166536.15899999999</v>
      </c>
      <c r="G90" s="776">
        <f t="shared" si="157"/>
        <v>18833.753640000003</v>
      </c>
      <c r="H90" s="776">
        <f t="shared" si="158"/>
        <v>39578.400000000001</v>
      </c>
      <c r="I90" s="776">
        <f t="shared" si="159"/>
        <v>9001.0596278571429</v>
      </c>
      <c r="J90" s="776">
        <f t="shared" si="159"/>
        <v>16241.032899000002</v>
      </c>
      <c r="K90" s="776">
        <f t="shared" si="153"/>
        <v>2044487.2776668572</v>
      </c>
      <c r="L90" s="776">
        <f t="shared" si="132"/>
        <v>306673.0916500286</v>
      </c>
      <c r="M90" s="776">
        <f t="shared" si="154"/>
        <v>2351160.3693168857</v>
      </c>
      <c r="N90" s="776">
        <f t="shared" si="155"/>
        <v>2035486.2180390002</v>
      </c>
      <c r="O90" s="776">
        <f t="shared" si="135"/>
        <v>305322.93270584999</v>
      </c>
      <c r="P90" s="776">
        <f t="shared" si="156"/>
        <v>2340809.1507448503</v>
      </c>
      <c r="Q90" s="776">
        <f>NCong!P141+NCong!P154+NCong!P167+NCong!P175+NCong!P179+NCong!P183+NCong!P185+NCong!P186+NCong!P189+NCong!P190+NCong!P191+NCong!P194</f>
        <v>53908.461538461532</v>
      </c>
    </row>
    <row r="91" spans="1:17" s="770" customFormat="1" ht="12" customHeight="1">
      <c r="A91" s="771" t="s">
        <v>21</v>
      </c>
      <c r="B91" s="774" t="s">
        <v>828</v>
      </c>
      <c r="C91" s="771"/>
      <c r="D91" s="771"/>
      <c r="E91" s="776"/>
      <c r="F91" s="776"/>
      <c r="G91" s="776"/>
      <c r="H91" s="776"/>
      <c r="I91" s="776"/>
      <c r="J91" s="776"/>
      <c r="K91" s="776"/>
      <c r="L91" s="776"/>
      <c r="M91" s="776"/>
      <c r="N91" s="776"/>
      <c r="O91" s="776"/>
      <c r="P91" s="776"/>
      <c r="Q91" s="776"/>
    </row>
    <row r="92" spans="1:17" s="770" customFormat="1" ht="12" customHeight="1">
      <c r="A92" s="771" t="s">
        <v>829</v>
      </c>
      <c r="B92" s="834" t="s">
        <v>820</v>
      </c>
      <c r="C92" s="771"/>
      <c r="D92" s="771"/>
      <c r="E92" s="776"/>
      <c r="F92" s="776"/>
      <c r="G92" s="776"/>
      <c r="H92" s="776"/>
      <c r="I92" s="776"/>
      <c r="J92" s="776"/>
      <c r="K92" s="776"/>
      <c r="L92" s="776"/>
      <c r="M92" s="776"/>
      <c r="N92" s="776"/>
      <c r="O92" s="776"/>
      <c r="P92" s="776"/>
      <c r="Q92" s="776"/>
    </row>
    <row r="93" spans="1:17" s="770" customFormat="1">
      <c r="A93" s="1084" t="s">
        <v>526</v>
      </c>
      <c r="B93" s="1086" t="s">
        <v>697</v>
      </c>
      <c r="C93" s="1084" t="s">
        <v>51</v>
      </c>
      <c r="D93" s="771">
        <v>1</v>
      </c>
      <c r="E93" s="776">
        <f>NCong!K126+NCong!K194</f>
        <v>1610003.703</v>
      </c>
      <c r="F93" s="776">
        <f>NCong!K127</f>
        <v>89242.81</v>
      </c>
      <c r="G93" s="776">
        <f>G61</f>
        <v>16097.225333333336</v>
      </c>
      <c r="H93" s="776">
        <f t="shared" ref="H93:J93" si="160">H61</f>
        <v>43976</v>
      </c>
      <c r="I93" s="776">
        <f t="shared" si="160"/>
        <v>7693.2133571428576</v>
      </c>
      <c r="J93" s="776">
        <f t="shared" si="160"/>
        <v>13881.224700000001</v>
      </c>
      <c r="K93" s="776">
        <f t="shared" ref="K93" si="161">SUM(E93:J93)</f>
        <v>1780894.1763904761</v>
      </c>
      <c r="L93" s="776">
        <f t="shared" ref="L93" si="162">K93*15%</f>
        <v>267134.12645857141</v>
      </c>
      <c r="M93" s="776">
        <f t="shared" ref="M93" si="163">K93+L93</f>
        <v>2048028.3028490474</v>
      </c>
      <c r="N93" s="776">
        <f t="shared" ref="N93" si="164">K93-I93</f>
        <v>1773200.9630333332</v>
      </c>
      <c r="O93" s="776">
        <f t="shared" ref="O93" si="165">$L$6*N93</f>
        <v>265980.14445499994</v>
      </c>
      <c r="P93" s="776">
        <f t="shared" ref="P93" si="166">N93+O93</f>
        <v>2039181.1074883332</v>
      </c>
      <c r="Q93" s="776">
        <f>NCong!N126+NCong!N194</f>
        <v>47739.153846153837</v>
      </c>
    </row>
    <row r="94" spans="1:17" s="770" customFormat="1">
      <c r="A94" s="1084"/>
      <c r="B94" s="1086"/>
      <c r="C94" s="1084"/>
      <c r="D94" s="771" t="s">
        <v>33</v>
      </c>
      <c r="E94" s="776">
        <f>NCong!K128+NCong!K194</f>
        <v>1671653.4779999999</v>
      </c>
      <c r="F94" s="776">
        <f>NCong!K129</f>
        <v>98318.35</v>
      </c>
      <c r="G94" s="776">
        <f t="shared" ref="G94:J94" si="167">G62</f>
        <v>16097.225333333336</v>
      </c>
      <c r="H94" s="776">
        <f t="shared" si="167"/>
        <v>43976</v>
      </c>
      <c r="I94" s="776">
        <f t="shared" si="167"/>
        <v>7693.2133571428576</v>
      </c>
      <c r="J94" s="776">
        <f t="shared" si="167"/>
        <v>13881.224700000001</v>
      </c>
      <c r="K94" s="776">
        <f t="shared" ref="K94:K98" si="168">SUM(E94:J94)</f>
        <v>1851619.491390476</v>
      </c>
      <c r="L94" s="776">
        <f t="shared" ref="L94:L98" si="169">K94*15%</f>
        <v>277742.92370857141</v>
      </c>
      <c r="M94" s="776">
        <f t="shared" ref="M94:M98" si="170">K94+L94</f>
        <v>2129362.4150990476</v>
      </c>
      <c r="N94" s="776">
        <f t="shared" ref="N94:N98" si="171">K94-I94</f>
        <v>1843926.2780333331</v>
      </c>
      <c r="O94" s="776">
        <f t="shared" ref="O94:O98" si="172">$L$6*N94</f>
        <v>276588.94170499995</v>
      </c>
      <c r="P94" s="776">
        <f t="shared" ref="P94:P98" si="173">N94+O94</f>
        <v>2120515.219738333</v>
      </c>
      <c r="Q94" s="776">
        <f>NCong!N128+NCong!N194</f>
        <v>49685.307692307688</v>
      </c>
    </row>
    <row r="95" spans="1:17" s="770" customFormat="1">
      <c r="A95" s="1084"/>
      <c r="B95" s="1086"/>
      <c r="C95" s="1084"/>
      <c r="D95" s="771" t="s">
        <v>34</v>
      </c>
      <c r="E95" s="776">
        <f>NCong!K130+NCong!K194</f>
        <v>1739468.2304999998</v>
      </c>
      <c r="F95" s="776">
        <f>NCong!K131</f>
        <v>107393.89</v>
      </c>
      <c r="G95" s="776">
        <f t="shared" ref="G95:J95" si="174">G63</f>
        <v>16097.225333333336</v>
      </c>
      <c r="H95" s="776">
        <f t="shared" si="174"/>
        <v>43976</v>
      </c>
      <c r="I95" s="776">
        <f t="shared" si="174"/>
        <v>7693.2133571428576</v>
      </c>
      <c r="J95" s="776">
        <f t="shared" si="174"/>
        <v>13881.224700000001</v>
      </c>
      <c r="K95" s="776">
        <f t="shared" si="168"/>
        <v>1928509.7838904758</v>
      </c>
      <c r="L95" s="776">
        <f t="shared" si="169"/>
        <v>289276.46758357133</v>
      </c>
      <c r="M95" s="776">
        <f t="shared" si="170"/>
        <v>2217786.2514740471</v>
      </c>
      <c r="N95" s="776">
        <f t="shared" si="171"/>
        <v>1920816.5705333329</v>
      </c>
      <c r="O95" s="776">
        <f t="shared" si="172"/>
        <v>288122.48557999992</v>
      </c>
      <c r="P95" s="776">
        <f t="shared" si="173"/>
        <v>2208939.056113333</v>
      </c>
      <c r="Q95" s="776">
        <f>NCong!N130+NCong!N194</f>
        <v>51826.076923076915</v>
      </c>
    </row>
    <row r="96" spans="1:17" s="770" customFormat="1">
      <c r="A96" s="1084" t="s">
        <v>531</v>
      </c>
      <c r="B96" s="1086" t="s">
        <v>698</v>
      </c>
      <c r="C96" s="1084" t="s">
        <v>51</v>
      </c>
      <c r="D96" s="771">
        <v>1</v>
      </c>
      <c r="E96" s="776">
        <f>NCong!M126+NCong!M194</f>
        <v>2314282.08</v>
      </c>
      <c r="F96" s="776">
        <f>NCong!M127</f>
        <v>116015.65300000001</v>
      </c>
      <c r="G96" s="776">
        <f>G93*1.3</f>
        <v>20926.392933333336</v>
      </c>
      <c r="H96" s="776">
        <f>H93</f>
        <v>43976</v>
      </c>
      <c r="I96" s="776">
        <f>I93*1.3</f>
        <v>10001.177364285715</v>
      </c>
      <c r="J96" s="776">
        <f>J93*1.3</f>
        <v>18045.592110000001</v>
      </c>
      <c r="K96" s="776">
        <f t="shared" si="168"/>
        <v>2523246.895407619</v>
      </c>
      <c r="L96" s="776">
        <f t="shared" si="169"/>
        <v>378487.03431114281</v>
      </c>
      <c r="M96" s="776">
        <f t="shared" si="170"/>
        <v>2901733.9297187617</v>
      </c>
      <c r="N96" s="776">
        <f t="shared" si="171"/>
        <v>2513245.7180433334</v>
      </c>
      <c r="O96" s="776">
        <f t="shared" si="172"/>
        <v>376986.85770649998</v>
      </c>
      <c r="P96" s="776">
        <f t="shared" si="173"/>
        <v>2890232.5757498331</v>
      </c>
      <c r="Q96" s="776">
        <f>NCong!P126+NCong!P194</f>
        <v>68854.923076923049</v>
      </c>
    </row>
    <row r="97" spans="1:17" s="770" customFormat="1">
      <c r="A97" s="1084"/>
      <c r="B97" s="1086"/>
      <c r="C97" s="1084"/>
      <c r="D97" s="771" t="s">
        <v>33</v>
      </c>
      <c r="E97" s="776">
        <f>NCong!M128+NCong!M194</f>
        <v>2394426.7875000001</v>
      </c>
      <c r="F97" s="776">
        <f>NCong!M129</f>
        <v>127813.855</v>
      </c>
      <c r="G97" s="776">
        <f t="shared" ref="G97" si="175">G94*1.3</f>
        <v>20926.392933333336</v>
      </c>
      <c r="H97" s="776">
        <f t="shared" ref="H97" si="176">H94</f>
        <v>43976</v>
      </c>
      <c r="I97" s="776">
        <f t="shared" ref="I97:J97" si="177">I94*1.3</f>
        <v>10001.177364285715</v>
      </c>
      <c r="J97" s="776">
        <f t="shared" si="177"/>
        <v>18045.592110000001</v>
      </c>
      <c r="K97" s="776">
        <f t="shared" si="168"/>
        <v>2615189.804907619</v>
      </c>
      <c r="L97" s="776">
        <f t="shared" si="169"/>
        <v>392278.47073614283</v>
      </c>
      <c r="M97" s="776">
        <f t="shared" si="170"/>
        <v>3007468.2756437617</v>
      </c>
      <c r="N97" s="776">
        <f t="shared" si="171"/>
        <v>2605188.6275433335</v>
      </c>
      <c r="O97" s="776">
        <f t="shared" si="172"/>
        <v>390778.29413150001</v>
      </c>
      <c r="P97" s="776">
        <f t="shared" si="173"/>
        <v>2995966.9216748336</v>
      </c>
      <c r="Q97" s="776">
        <f>NCong!P128+NCong!P194</f>
        <v>71384.923076923049</v>
      </c>
    </row>
    <row r="98" spans="1:17" s="770" customFormat="1">
      <c r="A98" s="1084"/>
      <c r="B98" s="1086"/>
      <c r="C98" s="1084"/>
      <c r="D98" s="771" t="s">
        <v>34</v>
      </c>
      <c r="E98" s="776">
        <f>NCong!M130+NCong!M194</f>
        <v>2482585.9657500004</v>
      </c>
      <c r="F98" s="776">
        <f>NCong!M131</f>
        <v>139612.057</v>
      </c>
      <c r="G98" s="776">
        <f>G95*1.3</f>
        <v>20926.392933333336</v>
      </c>
      <c r="H98" s="776">
        <f>H95</f>
        <v>43976</v>
      </c>
      <c r="I98" s="776">
        <f>I95*1.3</f>
        <v>10001.177364285715</v>
      </c>
      <c r="J98" s="776">
        <f>J95*1.3</f>
        <v>18045.592110000001</v>
      </c>
      <c r="K98" s="776">
        <f t="shared" si="168"/>
        <v>2715147.1851576194</v>
      </c>
      <c r="L98" s="776">
        <f t="shared" si="169"/>
        <v>407272.0777736429</v>
      </c>
      <c r="M98" s="776">
        <f t="shared" si="170"/>
        <v>3122419.2629312621</v>
      </c>
      <c r="N98" s="776">
        <f t="shared" si="171"/>
        <v>2705146.0077933338</v>
      </c>
      <c r="O98" s="776">
        <f t="shared" si="172"/>
        <v>405771.90116900008</v>
      </c>
      <c r="P98" s="776">
        <f t="shared" si="173"/>
        <v>3110917.908962334</v>
      </c>
      <c r="Q98" s="776">
        <f>NCong!P130+NCong!P194</f>
        <v>74167.923076923049</v>
      </c>
    </row>
    <row r="99" spans="1:17" s="770" customFormat="1">
      <c r="A99" s="771" t="s">
        <v>832</v>
      </c>
      <c r="B99" s="834" t="s">
        <v>822</v>
      </c>
      <c r="C99" s="771"/>
      <c r="D99" s="771"/>
      <c r="E99" s="776"/>
      <c r="F99" s="776"/>
      <c r="G99" s="776"/>
      <c r="H99" s="776"/>
      <c r="I99" s="776"/>
      <c r="J99" s="776"/>
      <c r="K99" s="776"/>
      <c r="L99" s="776"/>
      <c r="M99" s="776"/>
      <c r="N99" s="776"/>
      <c r="O99" s="776"/>
      <c r="P99" s="776"/>
      <c r="Q99" s="776"/>
    </row>
    <row r="100" spans="1:17" s="825" customFormat="1">
      <c r="A100" s="1091" t="s">
        <v>526</v>
      </c>
      <c r="B100" s="1092" t="s">
        <v>697</v>
      </c>
      <c r="C100" s="1091" t="s">
        <v>51</v>
      </c>
      <c r="D100" s="823">
        <v>1</v>
      </c>
      <c r="E100" s="824">
        <f>NCong!K132+NCong!K194</f>
        <v>1537898.703</v>
      </c>
      <c r="F100" s="824">
        <f>F93</f>
        <v>89242.81</v>
      </c>
      <c r="G100" s="824">
        <f>G93</f>
        <v>16097.225333333336</v>
      </c>
      <c r="H100" s="824">
        <f t="shared" ref="H100:J100" si="178">H93</f>
        <v>43976</v>
      </c>
      <c r="I100" s="824">
        <f t="shared" si="178"/>
        <v>7693.2133571428576</v>
      </c>
      <c r="J100" s="824">
        <f t="shared" si="178"/>
        <v>13881.224700000001</v>
      </c>
      <c r="K100" s="824">
        <f t="shared" ref="K100:K102" si="179">SUM(E100:J100)</f>
        <v>1708789.1763904761</v>
      </c>
      <c r="L100" s="824">
        <f t="shared" ref="L100:L102" si="180">K100*15%</f>
        <v>256318.37645857141</v>
      </c>
      <c r="M100" s="824">
        <f t="shared" ref="M100:M102" si="181">K100+L100</f>
        <v>1965107.5528490474</v>
      </c>
      <c r="N100" s="824">
        <f t="shared" ref="N100:N102" si="182">K100-I100</f>
        <v>1701095.9630333332</v>
      </c>
      <c r="O100" s="824">
        <f t="shared" ref="O100:O102" si="183">$L$6*N100</f>
        <v>255164.39445499997</v>
      </c>
      <c r="P100" s="824">
        <f t="shared" ref="P100:P102" si="184">N100+O100</f>
        <v>1956260.3574883332</v>
      </c>
      <c r="Q100" s="824">
        <f>NCong!N132+NCong!N194</f>
        <v>45792.999999999993</v>
      </c>
    </row>
    <row r="101" spans="1:17" s="825" customFormat="1">
      <c r="A101" s="1091"/>
      <c r="B101" s="1092"/>
      <c r="C101" s="1091"/>
      <c r="D101" s="823" t="s">
        <v>33</v>
      </c>
      <c r="E101" s="824">
        <f>NCong!K134+NCong!K194</f>
        <v>1599548.4779999999</v>
      </c>
      <c r="F101" s="824">
        <f t="shared" ref="F101:J102" si="185">F94</f>
        <v>98318.35</v>
      </c>
      <c r="G101" s="824">
        <f t="shared" si="185"/>
        <v>16097.225333333336</v>
      </c>
      <c r="H101" s="824">
        <f t="shared" si="185"/>
        <v>43976</v>
      </c>
      <c r="I101" s="824">
        <f t="shared" si="185"/>
        <v>7693.2133571428576</v>
      </c>
      <c r="J101" s="824">
        <f t="shared" si="185"/>
        <v>13881.224700000001</v>
      </c>
      <c r="K101" s="824">
        <f t="shared" si="179"/>
        <v>1779514.491390476</v>
      </c>
      <c r="L101" s="824">
        <f t="shared" si="180"/>
        <v>266927.17370857141</v>
      </c>
      <c r="M101" s="824">
        <f t="shared" si="181"/>
        <v>2046441.6650990474</v>
      </c>
      <c r="N101" s="824">
        <f t="shared" si="182"/>
        <v>1771821.2780333331</v>
      </c>
      <c r="O101" s="824">
        <f t="shared" si="183"/>
        <v>265773.19170499995</v>
      </c>
      <c r="P101" s="824">
        <f t="shared" si="184"/>
        <v>2037594.469738333</v>
      </c>
      <c r="Q101" s="824">
        <f>NCong!N134+NCong!N194</f>
        <v>47739.153846153844</v>
      </c>
    </row>
    <row r="102" spans="1:17" s="825" customFormat="1">
      <c r="A102" s="1091"/>
      <c r="B102" s="1092"/>
      <c r="C102" s="1091"/>
      <c r="D102" s="823" t="s">
        <v>34</v>
      </c>
      <c r="E102" s="824">
        <f>NCong!K136+NCong!K194</f>
        <v>1667363.2304999998</v>
      </c>
      <c r="F102" s="824">
        <f t="shared" si="185"/>
        <v>107393.89</v>
      </c>
      <c r="G102" s="824">
        <f t="shared" si="185"/>
        <v>16097.225333333336</v>
      </c>
      <c r="H102" s="824">
        <f t="shared" si="185"/>
        <v>43976</v>
      </c>
      <c r="I102" s="824">
        <f t="shared" si="185"/>
        <v>7693.2133571428576</v>
      </c>
      <c r="J102" s="824">
        <f t="shared" si="185"/>
        <v>13881.224700000001</v>
      </c>
      <c r="K102" s="824">
        <f t="shared" si="179"/>
        <v>1856404.7838904758</v>
      </c>
      <c r="L102" s="824">
        <f t="shared" si="180"/>
        <v>278460.71758357133</v>
      </c>
      <c r="M102" s="824">
        <f t="shared" si="181"/>
        <v>2134865.5014740471</v>
      </c>
      <c r="N102" s="824">
        <f t="shared" si="182"/>
        <v>1848711.5705333329</v>
      </c>
      <c r="O102" s="824">
        <f t="shared" si="183"/>
        <v>277306.73557999992</v>
      </c>
      <c r="P102" s="824">
        <f t="shared" si="184"/>
        <v>2126018.306113333</v>
      </c>
      <c r="Q102" s="824">
        <f>NCong!N136+NCong!N194</f>
        <v>49879.923076923071</v>
      </c>
    </row>
    <row r="103" spans="1:17" s="825" customFormat="1">
      <c r="A103" s="1091" t="s">
        <v>531</v>
      </c>
      <c r="B103" s="1092" t="s">
        <v>698</v>
      </c>
      <c r="C103" s="1091" t="s">
        <v>51</v>
      </c>
      <c r="D103" s="823">
        <v>1</v>
      </c>
      <c r="E103" s="824">
        <f>NCong!M132+NCong!M194</f>
        <v>2242177.08</v>
      </c>
      <c r="F103" s="824">
        <f>F96</f>
        <v>116015.65300000001</v>
      </c>
      <c r="G103" s="824">
        <f>G96</f>
        <v>20926.392933333336</v>
      </c>
      <c r="H103" s="824">
        <f t="shared" ref="H103:J103" si="186">H96</f>
        <v>43976</v>
      </c>
      <c r="I103" s="824">
        <f t="shared" si="186"/>
        <v>10001.177364285715</v>
      </c>
      <c r="J103" s="824">
        <f t="shared" si="186"/>
        <v>18045.592110000001</v>
      </c>
      <c r="K103" s="824">
        <f t="shared" ref="K103:K105" si="187">SUM(E103:J103)</f>
        <v>2451141.895407619</v>
      </c>
      <c r="L103" s="824">
        <f t="shared" ref="L103:L105" si="188">K103*15%</f>
        <v>367671.28431114281</v>
      </c>
      <c r="M103" s="824">
        <f t="shared" ref="M103:M105" si="189">K103+L103</f>
        <v>2818813.1797187617</v>
      </c>
      <c r="N103" s="824">
        <f t="shared" ref="N103:N105" si="190">K103-I103</f>
        <v>2441140.7180433334</v>
      </c>
      <c r="O103" s="824">
        <f t="shared" ref="O103:O105" si="191">$L$6*N103</f>
        <v>366171.10770649998</v>
      </c>
      <c r="P103" s="824">
        <f t="shared" ref="P103:P105" si="192">N103+O103</f>
        <v>2807311.8257498331</v>
      </c>
      <c r="Q103" s="824">
        <f>NCong!P132+NCong!P194</f>
        <v>66908.76923076922</v>
      </c>
    </row>
    <row r="104" spans="1:17" s="825" customFormat="1">
      <c r="A104" s="1091"/>
      <c r="B104" s="1092"/>
      <c r="C104" s="1091"/>
      <c r="D104" s="823" t="s">
        <v>33</v>
      </c>
      <c r="E104" s="824">
        <f>NCong!M134+NCong!M194</f>
        <v>2322321.7875000001</v>
      </c>
      <c r="F104" s="824">
        <f t="shared" ref="F104:G105" si="193">F97</f>
        <v>127813.855</v>
      </c>
      <c r="G104" s="824">
        <f t="shared" si="193"/>
        <v>20926.392933333336</v>
      </c>
      <c r="H104" s="824">
        <f t="shared" ref="H104:J104" si="194">H97</f>
        <v>43976</v>
      </c>
      <c r="I104" s="824">
        <f t="shared" si="194"/>
        <v>10001.177364285715</v>
      </c>
      <c r="J104" s="824">
        <f t="shared" si="194"/>
        <v>18045.592110000001</v>
      </c>
      <c r="K104" s="824">
        <f t="shared" si="187"/>
        <v>2543084.804907619</v>
      </c>
      <c r="L104" s="824">
        <f t="shared" si="188"/>
        <v>381462.72073614283</v>
      </c>
      <c r="M104" s="824">
        <f t="shared" si="189"/>
        <v>2924547.5256437617</v>
      </c>
      <c r="N104" s="824">
        <f t="shared" si="190"/>
        <v>2533083.6275433335</v>
      </c>
      <c r="O104" s="824">
        <f t="shared" si="191"/>
        <v>379962.54413150001</v>
      </c>
      <c r="P104" s="824">
        <f t="shared" si="192"/>
        <v>2913046.1716748336</v>
      </c>
      <c r="Q104" s="824">
        <f>NCong!P134+NCong!P194</f>
        <v>69438.76923076919</v>
      </c>
    </row>
    <row r="105" spans="1:17" s="825" customFormat="1">
      <c r="A105" s="1091"/>
      <c r="B105" s="1092"/>
      <c r="C105" s="1091"/>
      <c r="D105" s="823" t="s">
        <v>34</v>
      </c>
      <c r="E105" s="824">
        <f>NCong!M136+NCong!M194</f>
        <v>2410480.96575</v>
      </c>
      <c r="F105" s="824">
        <f t="shared" si="193"/>
        <v>139612.057</v>
      </c>
      <c r="G105" s="824">
        <f t="shared" si="193"/>
        <v>20926.392933333336</v>
      </c>
      <c r="H105" s="824">
        <f t="shared" ref="H105:J105" si="195">H98</f>
        <v>43976</v>
      </c>
      <c r="I105" s="824">
        <f t="shared" si="195"/>
        <v>10001.177364285715</v>
      </c>
      <c r="J105" s="824">
        <f t="shared" si="195"/>
        <v>18045.592110000001</v>
      </c>
      <c r="K105" s="824">
        <f t="shared" si="187"/>
        <v>2643042.185157619</v>
      </c>
      <c r="L105" s="824">
        <f t="shared" si="188"/>
        <v>396456.32777364284</v>
      </c>
      <c r="M105" s="824">
        <f t="shared" si="189"/>
        <v>3039498.5129312617</v>
      </c>
      <c r="N105" s="824">
        <f t="shared" si="190"/>
        <v>2633041.0077933334</v>
      </c>
      <c r="O105" s="824">
        <f t="shared" si="191"/>
        <v>394956.15116900002</v>
      </c>
      <c r="P105" s="824">
        <f t="shared" si="192"/>
        <v>3027997.1589623336</v>
      </c>
      <c r="Q105" s="824">
        <f>NCong!P136+NCong!P194</f>
        <v>72221.769230769205</v>
      </c>
    </row>
    <row r="106" spans="1:17" s="780" customFormat="1" hidden="1">
      <c r="A106" s="1087" t="str">
        <f>NCong!A114</f>
        <v>II.1</v>
      </c>
      <c r="B106" s="1088" t="str">
        <f>NCong!B114</f>
        <v>CÁC NỘI DUNG THỰC HIỆN TẠI ĐỊA BÀN CẤP XÃ, PHƯỜNG ĐỐI VỚI HỘ GIA ĐÌNH CÁ NHÂN (CÓ CHUẨN BỊ HỢP ĐỒNG THUÊ ĐẤT)</v>
      </c>
      <c r="C106" s="1087" t="s">
        <v>51</v>
      </c>
      <c r="D106" s="777">
        <v>1</v>
      </c>
      <c r="E106" s="779">
        <f>NCong!K114</f>
        <v>1458222.6780000001</v>
      </c>
      <c r="F106" s="779">
        <f>NCong!K115</f>
        <v>105881.29999999999</v>
      </c>
      <c r="G106" s="779">
        <f>Dcu!K$86</f>
        <v>16097.225333333336</v>
      </c>
      <c r="H106" s="779">
        <f>VLieu!I$49</f>
        <v>43976</v>
      </c>
      <c r="I106" s="779">
        <f>Tbi!$I$38</f>
        <v>7693.2133571428576</v>
      </c>
      <c r="J106" s="779">
        <f>Tbi!$I$45</f>
        <v>13881.224700000001</v>
      </c>
      <c r="K106" s="779">
        <f t="shared" si="104"/>
        <v>1645751.6413904761</v>
      </c>
      <c r="L106" s="779">
        <f t="shared" si="105"/>
        <v>246862.74620857142</v>
      </c>
      <c r="M106" s="779">
        <f>K106+L106</f>
        <v>1892614.3875990475</v>
      </c>
      <c r="N106" s="779"/>
      <c r="O106" s="779"/>
      <c r="P106" s="779"/>
      <c r="Q106" s="779">
        <f>NCong!N114</f>
        <v>43360.307692307688</v>
      </c>
    </row>
    <row r="107" spans="1:17" s="780" customFormat="1" hidden="1">
      <c r="A107" s="1087"/>
      <c r="B107" s="1088"/>
      <c r="C107" s="1087"/>
      <c r="D107" s="777" t="s">
        <v>33</v>
      </c>
      <c r="E107" s="779">
        <f>NCong!K116</f>
        <v>1513707.4754999999</v>
      </c>
      <c r="F107" s="779">
        <f>NCong!K117</f>
        <v>116469.43000000001</v>
      </c>
      <c r="G107" s="779">
        <f>Dcu!K$86</f>
        <v>16097.225333333336</v>
      </c>
      <c r="H107" s="779">
        <f>VLieu!I$49</f>
        <v>43976</v>
      </c>
      <c r="I107" s="779">
        <f>Tbi!$I$38</f>
        <v>7693.2133571428576</v>
      </c>
      <c r="J107" s="779">
        <f>Tbi!$I$45</f>
        <v>13881.224700000001</v>
      </c>
      <c r="K107" s="779">
        <f t="shared" si="104"/>
        <v>1711824.5688904759</v>
      </c>
      <c r="L107" s="779">
        <f t="shared" si="105"/>
        <v>256773.68533357137</v>
      </c>
      <c r="M107" s="779">
        <f>K107+L107</f>
        <v>1968598.2542240473</v>
      </c>
      <c r="N107" s="779"/>
      <c r="O107" s="779"/>
      <c r="P107" s="779"/>
      <c r="Q107" s="779">
        <f>NCong!N116</f>
        <v>45111.846153846149</v>
      </c>
    </row>
    <row r="108" spans="1:17" s="780" customFormat="1" hidden="1">
      <c r="A108" s="1087"/>
      <c r="B108" s="1088"/>
      <c r="C108" s="1087"/>
      <c r="D108" s="777" t="s">
        <v>34</v>
      </c>
      <c r="E108" s="779">
        <f>NCong!K118</f>
        <v>1574740.75275</v>
      </c>
      <c r="F108" s="779">
        <f>NCong!K119</f>
        <v>128116.37299999999</v>
      </c>
      <c r="G108" s="779">
        <f>Dcu!K$86</f>
        <v>16097.225333333336</v>
      </c>
      <c r="H108" s="779">
        <f>VLieu!I$49</f>
        <v>43976</v>
      </c>
      <c r="I108" s="779">
        <f>Tbi!$I$38</f>
        <v>7693.2133571428576</v>
      </c>
      <c r="J108" s="779">
        <f>Tbi!$I$45</f>
        <v>13881.224700000001</v>
      </c>
      <c r="K108" s="779">
        <f t="shared" si="104"/>
        <v>1784504.7891404759</v>
      </c>
      <c r="L108" s="779">
        <f t="shared" si="105"/>
        <v>267675.71837107139</v>
      </c>
      <c r="M108" s="779">
        <f>K108+L108</f>
        <v>2052180.5075115473</v>
      </c>
      <c r="N108" s="779"/>
      <c r="O108" s="779"/>
      <c r="P108" s="779"/>
      <c r="Q108" s="779">
        <f>NCong!N118</f>
        <v>47038.538461538454</v>
      </c>
    </row>
    <row r="109" spans="1:17" s="780" customFormat="1" hidden="1">
      <c r="A109" s="777" t="str">
        <f>NCong!A194</f>
        <v>II.2</v>
      </c>
      <c r="B109" s="781" t="str">
        <f>NCong!B194</f>
        <v>CÁC NỘI DUNG THỰC HIỆN TẠI ĐỊA BÀN CẤP TỈNH</v>
      </c>
      <c r="C109" s="777"/>
      <c r="D109" s="777"/>
      <c r="E109" s="779">
        <f>NCong!K194</f>
        <v>72105</v>
      </c>
      <c r="F109" s="779"/>
      <c r="G109" s="779"/>
      <c r="H109" s="779"/>
      <c r="I109" s="779"/>
      <c r="J109" s="779"/>
      <c r="K109" s="779">
        <f t="shared" si="104"/>
        <v>72105</v>
      </c>
      <c r="L109" s="779">
        <f t="shared" si="105"/>
        <v>10815.75</v>
      </c>
      <c r="M109" s="779">
        <f>K109+L109</f>
        <v>82920.75</v>
      </c>
      <c r="N109" s="779"/>
      <c r="O109" s="779"/>
      <c r="P109" s="779"/>
      <c r="Q109" s="779">
        <f>NCong!N194</f>
        <v>1946.1538461538462</v>
      </c>
    </row>
    <row r="110" spans="1:17" s="780" customFormat="1" ht="13.5" customHeight="1">
      <c r="A110" s="771" t="s">
        <v>108</v>
      </c>
      <c r="B110" s="1098" t="str">
        <f>NCong!B204</f>
        <v>Đăng ký, cấp Giấy chứng nhận lần đầu đối với tổ chức, tổ chức tôn giáo, tổ chức tôn giáo trực thuộc đang sử dụng đất</v>
      </c>
      <c r="C110" s="1099"/>
      <c r="D110" s="1099"/>
      <c r="E110" s="1099"/>
      <c r="F110" s="1099"/>
      <c r="G110" s="1099"/>
      <c r="H110" s="1099"/>
      <c r="I110" s="1099"/>
      <c r="J110" s="1099"/>
      <c r="K110" s="1099"/>
      <c r="L110" s="1099"/>
      <c r="M110" s="1099"/>
      <c r="N110" s="1099"/>
      <c r="O110" s="1099"/>
      <c r="P110" s="1099"/>
      <c r="Q110" s="779"/>
    </row>
    <row r="111" spans="1:17" s="780" customFormat="1" ht="13.5" customHeight="1">
      <c r="A111" s="771" t="s">
        <v>19</v>
      </c>
      <c r="B111" s="834" t="s">
        <v>820</v>
      </c>
      <c r="C111" s="775"/>
      <c r="D111" s="775"/>
      <c r="E111" s="775"/>
      <c r="F111" s="775"/>
      <c r="G111" s="775"/>
      <c r="H111" s="775"/>
      <c r="I111" s="775"/>
      <c r="J111" s="775"/>
      <c r="K111" s="775"/>
      <c r="L111" s="775"/>
      <c r="M111" s="775"/>
      <c r="N111" s="775"/>
      <c r="O111" s="775"/>
      <c r="P111" s="775"/>
      <c r="Q111" s="779"/>
    </row>
    <row r="112" spans="1:17" s="770" customFormat="1">
      <c r="A112" s="1084" t="s">
        <v>124</v>
      </c>
      <c r="B112" s="1090" t="s">
        <v>697</v>
      </c>
      <c r="C112" s="1084" t="s">
        <v>51</v>
      </c>
      <c r="D112" s="771">
        <v>1</v>
      </c>
      <c r="E112" s="776">
        <f t="shared" ref="E112:J114" si="196">E139+E$145</f>
        <v>2606087.4097499996</v>
      </c>
      <c r="F112" s="776">
        <f t="shared" si="196"/>
        <v>89242.81</v>
      </c>
      <c r="G112" s="776">
        <f t="shared" si="196"/>
        <v>16242.580480769229</v>
      </c>
      <c r="H112" s="776">
        <f t="shared" si="196"/>
        <v>36012</v>
      </c>
      <c r="I112" s="776">
        <f t="shared" si="196"/>
        <v>17864.5785</v>
      </c>
      <c r="J112" s="776">
        <f t="shared" si="196"/>
        <v>40483.148999999998</v>
      </c>
      <c r="K112" s="776">
        <f t="shared" ref="K112" si="197">SUM(E112:J112)</f>
        <v>2805932.527730769</v>
      </c>
      <c r="L112" s="776">
        <f t="shared" ref="L112:L138" si="198">K112*15%</f>
        <v>420889.87915961532</v>
      </c>
      <c r="M112" s="776">
        <f t="shared" ref="M112" si="199">K112+L112</f>
        <v>3226822.4068903844</v>
      </c>
      <c r="N112" s="776">
        <f t="shared" ref="N112" si="200">K112-I112</f>
        <v>2788067.9492307692</v>
      </c>
      <c r="O112" s="776">
        <f t="shared" ref="O112:O138" si="201">$L$6*N112</f>
        <v>418210.19238461537</v>
      </c>
      <c r="P112" s="776">
        <f t="shared" ref="P112" si="202">N112+O112</f>
        <v>3206278.1416153847</v>
      </c>
      <c r="Q112" s="776">
        <f>Q139+Q$145</f>
        <v>74051.153846153844</v>
      </c>
    </row>
    <row r="113" spans="1:17" s="770" customFormat="1">
      <c r="A113" s="1084"/>
      <c r="B113" s="1090"/>
      <c r="C113" s="1084"/>
      <c r="D113" s="771" t="s">
        <v>33</v>
      </c>
      <c r="E113" s="776">
        <f t="shared" si="196"/>
        <v>2667737.1847499995</v>
      </c>
      <c r="F113" s="776">
        <f t="shared" si="196"/>
        <v>98318.35</v>
      </c>
      <c r="G113" s="776">
        <f t="shared" si="196"/>
        <v>16242.580480769229</v>
      </c>
      <c r="H113" s="776">
        <f t="shared" si="196"/>
        <v>36012</v>
      </c>
      <c r="I113" s="776">
        <f t="shared" si="196"/>
        <v>17864.5785</v>
      </c>
      <c r="J113" s="776">
        <f t="shared" si="196"/>
        <v>40483.148999999998</v>
      </c>
      <c r="K113" s="776">
        <f t="shared" ref="K113:K128" si="203">SUM(E113:J113)</f>
        <v>2876657.842730769</v>
      </c>
      <c r="L113" s="776">
        <f t="shared" si="198"/>
        <v>431498.67640961532</v>
      </c>
      <c r="M113" s="776">
        <f t="shared" ref="M113:M128" si="204">K113+L113</f>
        <v>3308156.5191403842</v>
      </c>
      <c r="N113" s="776">
        <f t="shared" ref="N113:N128" si="205">K113-I113</f>
        <v>2858793.2642307691</v>
      </c>
      <c r="O113" s="776">
        <f t="shared" si="201"/>
        <v>428818.98963461537</v>
      </c>
      <c r="P113" s="776">
        <f t="shared" ref="P113:P128" si="206">N113+O113</f>
        <v>3287612.2538653845</v>
      </c>
      <c r="Q113" s="776">
        <f>Q140+Q$145</f>
        <v>75997.307692307688</v>
      </c>
    </row>
    <row r="114" spans="1:17" s="770" customFormat="1">
      <c r="A114" s="1084"/>
      <c r="B114" s="1090"/>
      <c r="C114" s="1084"/>
      <c r="D114" s="771" t="s">
        <v>34</v>
      </c>
      <c r="E114" s="776">
        <f t="shared" si="196"/>
        <v>2735551.9372499995</v>
      </c>
      <c r="F114" s="776">
        <f t="shared" si="196"/>
        <v>107393.89</v>
      </c>
      <c r="G114" s="776">
        <f t="shared" si="196"/>
        <v>16242.580480769229</v>
      </c>
      <c r="H114" s="776">
        <f t="shared" si="196"/>
        <v>36012</v>
      </c>
      <c r="I114" s="776">
        <f t="shared" si="196"/>
        <v>17864.5785</v>
      </c>
      <c r="J114" s="776">
        <f t="shared" si="196"/>
        <v>40483.148999999998</v>
      </c>
      <c r="K114" s="776">
        <f t="shared" si="203"/>
        <v>2953548.1352307689</v>
      </c>
      <c r="L114" s="776">
        <f t="shared" si="198"/>
        <v>443032.22028461535</v>
      </c>
      <c r="M114" s="776">
        <f t="shared" si="204"/>
        <v>3396580.3555153841</v>
      </c>
      <c r="N114" s="776">
        <f t="shared" si="205"/>
        <v>2935683.5567307691</v>
      </c>
      <c r="O114" s="776">
        <f t="shared" si="201"/>
        <v>440352.53350961534</v>
      </c>
      <c r="P114" s="776">
        <f t="shared" si="206"/>
        <v>3376036.0902403845</v>
      </c>
      <c r="Q114" s="776">
        <f>Q141+Q$145</f>
        <v>78138.076923076922</v>
      </c>
    </row>
    <row r="115" spans="1:17" s="770" customFormat="1">
      <c r="A115" s="1084" t="s">
        <v>125</v>
      </c>
      <c r="B115" s="1090" t="s">
        <v>715</v>
      </c>
      <c r="C115" s="1084" t="s">
        <v>51</v>
      </c>
      <c r="D115" s="771">
        <v>1</v>
      </c>
      <c r="E115" s="776">
        <f>NCong!M205+NCong!M229</f>
        <v>3343469.1922500003</v>
      </c>
      <c r="F115" s="776">
        <f>NCong!M206</f>
        <v>116015.65300000001</v>
      </c>
      <c r="G115" s="776">
        <f>G112*1.3</f>
        <v>21115.354625</v>
      </c>
      <c r="H115" s="776">
        <f>H112</f>
        <v>36012</v>
      </c>
      <c r="I115" s="776">
        <f>I112*1.6</f>
        <v>28583.3256</v>
      </c>
      <c r="J115" s="776">
        <f>J112*1.6</f>
        <v>64773.038399999998</v>
      </c>
      <c r="K115" s="776">
        <f t="shared" si="203"/>
        <v>3609968.5638750005</v>
      </c>
      <c r="L115" s="776">
        <f t="shared" si="198"/>
        <v>541495.28458125005</v>
      </c>
      <c r="M115" s="776">
        <f t="shared" si="204"/>
        <v>4151463.8484562505</v>
      </c>
      <c r="N115" s="776">
        <f t="shared" si="205"/>
        <v>3581385.2382750004</v>
      </c>
      <c r="O115" s="776">
        <f t="shared" si="201"/>
        <v>537207.78574125003</v>
      </c>
      <c r="P115" s="776">
        <f t="shared" si="206"/>
        <v>4118593.0240162504</v>
      </c>
      <c r="Q115" s="776">
        <f>NCong!P205+NCong!$P$229</f>
        <v>94982.038461538454</v>
      </c>
    </row>
    <row r="116" spans="1:17" s="770" customFormat="1">
      <c r="A116" s="1084"/>
      <c r="B116" s="1090"/>
      <c r="C116" s="1084"/>
      <c r="D116" s="771" t="s">
        <v>33</v>
      </c>
      <c r="E116" s="776">
        <f>NCong!M207+NCong!M229</f>
        <v>3423613.8997499999</v>
      </c>
      <c r="F116" s="776">
        <f>NCong!M208</f>
        <v>127813.855</v>
      </c>
      <c r="G116" s="776">
        <f t="shared" ref="G116:G117" si="207">G113*1.3</f>
        <v>21115.354625</v>
      </c>
      <c r="H116" s="776">
        <f t="shared" ref="H116:H117" si="208">H113</f>
        <v>36012</v>
      </c>
      <c r="I116" s="776">
        <f t="shared" ref="I116:J117" si="209">I113*1.6</f>
        <v>28583.3256</v>
      </c>
      <c r="J116" s="776">
        <f t="shared" si="209"/>
        <v>64773.038399999998</v>
      </c>
      <c r="K116" s="776">
        <f t="shared" si="203"/>
        <v>3701911.4733750001</v>
      </c>
      <c r="L116" s="776">
        <f t="shared" si="198"/>
        <v>555286.72100625001</v>
      </c>
      <c r="M116" s="776">
        <f t="shared" si="204"/>
        <v>4257198.1943812501</v>
      </c>
      <c r="N116" s="776">
        <f t="shared" si="205"/>
        <v>3673328.147775</v>
      </c>
      <c r="O116" s="776">
        <f t="shared" si="201"/>
        <v>550999.22216624999</v>
      </c>
      <c r="P116" s="776">
        <f t="shared" si="206"/>
        <v>4224327.3699412495</v>
      </c>
      <c r="Q116" s="776">
        <f>NCong!P207+NCong!$P$229</f>
        <v>97512.038461538439</v>
      </c>
    </row>
    <row r="117" spans="1:17" s="770" customFormat="1">
      <c r="A117" s="1084"/>
      <c r="B117" s="1090"/>
      <c r="C117" s="1084"/>
      <c r="D117" s="771" t="s">
        <v>34</v>
      </c>
      <c r="E117" s="776">
        <f>NCong!M209+NCong!M229</f>
        <v>3511773.0779999997</v>
      </c>
      <c r="F117" s="776">
        <f>NCong!M210</f>
        <v>139612.057</v>
      </c>
      <c r="G117" s="776">
        <f t="shared" si="207"/>
        <v>21115.354625</v>
      </c>
      <c r="H117" s="776">
        <f t="shared" si="208"/>
        <v>36012</v>
      </c>
      <c r="I117" s="776">
        <f t="shared" si="209"/>
        <v>28583.3256</v>
      </c>
      <c r="J117" s="776">
        <f t="shared" si="209"/>
        <v>64773.038399999998</v>
      </c>
      <c r="K117" s="776">
        <f t="shared" si="203"/>
        <v>3801868.853625</v>
      </c>
      <c r="L117" s="776">
        <f t="shared" si="198"/>
        <v>570280.32804375002</v>
      </c>
      <c r="M117" s="776">
        <f t="shared" si="204"/>
        <v>4372149.18166875</v>
      </c>
      <c r="N117" s="776">
        <f t="shared" si="205"/>
        <v>3773285.5280249999</v>
      </c>
      <c r="O117" s="776">
        <f t="shared" si="201"/>
        <v>565992.82920375001</v>
      </c>
      <c r="P117" s="776">
        <f t="shared" si="206"/>
        <v>4339278.3572287504</v>
      </c>
      <c r="Q117" s="776">
        <f>NCong!P209+NCong!$P$229</f>
        <v>100295.03846153845</v>
      </c>
    </row>
    <row r="118" spans="1:17" s="770" customFormat="1">
      <c r="A118" s="771" t="s">
        <v>21</v>
      </c>
      <c r="B118" s="834" t="s">
        <v>833</v>
      </c>
      <c r="C118" s="771"/>
      <c r="D118" s="771"/>
      <c r="E118" s="776"/>
      <c r="F118" s="776"/>
      <c r="G118" s="776"/>
      <c r="H118" s="776"/>
      <c r="I118" s="776"/>
      <c r="J118" s="776"/>
      <c r="K118" s="776"/>
      <c r="L118" s="776"/>
      <c r="M118" s="776"/>
      <c r="N118" s="776"/>
      <c r="O118" s="776"/>
      <c r="P118" s="776"/>
      <c r="Q118" s="776"/>
    </row>
    <row r="119" spans="1:17" s="825" customFormat="1">
      <c r="A119" s="1091" t="s">
        <v>124</v>
      </c>
      <c r="B119" s="1105" t="s">
        <v>697</v>
      </c>
      <c r="C119" s="1091" t="s">
        <v>51</v>
      </c>
      <c r="D119" s="823">
        <v>1</v>
      </c>
      <c r="E119" s="824">
        <f>NCong!K205+NCong!K230</f>
        <v>2533982.4097499996</v>
      </c>
      <c r="F119" s="824">
        <f>NCong!K206</f>
        <v>89242.81</v>
      </c>
      <c r="G119" s="824">
        <f>G112</f>
        <v>16242.580480769229</v>
      </c>
      <c r="H119" s="824">
        <f t="shared" ref="H119:J119" si="210">H112</f>
        <v>36012</v>
      </c>
      <c r="I119" s="824">
        <f t="shared" si="210"/>
        <v>17864.5785</v>
      </c>
      <c r="J119" s="824">
        <f t="shared" si="210"/>
        <v>40483.148999999998</v>
      </c>
      <c r="K119" s="824">
        <f t="shared" ref="K119:K121" si="211">SUM(E119:J119)</f>
        <v>2733827.527730769</v>
      </c>
      <c r="L119" s="824">
        <f t="shared" ref="L119:L121" si="212">K119*15%</f>
        <v>410074.12915961532</v>
      </c>
      <c r="M119" s="824">
        <f t="shared" ref="M119:M121" si="213">K119+L119</f>
        <v>3143901.6568903844</v>
      </c>
      <c r="N119" s="824">
        <f t="shared" ref="N119:N121" si="214">K119-I119</f>
        <v>2715962.9492307692</v>
      </c>
      <c r="O119" s="824">
        <f t="shared" ref="O119:O121" si="215">$L$6*N119</f>
        <v>407394.44238461537</v>
      </c>
      <c r="P119" s="824">
        <f t="shared" ref="P119:P121" si="216">N119+O119</f>
        <v>3123357.3916153847</v>
      </c>
      <c r="Q119" s="824">
        <f>NCong!N205+NCong!N230</f>
        <v>72105</v>
      </c>
    </row>
    <row r="120" spans="1:17" s="825" customFormat="1">
      <c r="A120" s="1091"/>
      <c r="B120" s="1105"/>
      <c r="C120" s="1091"/>
      <c r="D120" s="823" t="s">
        <v>33</v>
      </c>
      <c r="E120" s="824">
        <f>NCong!K207+NCong!K230</f>
        <v>2595632.1847499995</v>
      </c>
      <c r="F120" s="824">
        <f>NCong!L208</f>
        <v>98318.35</v>
      </c>
      <c r="G120" s="824">
        <f t="shared" ref="G120:J120" si="217">G113</f>
        <v>16242.580480769229</v>
      </c>
      <c r="H120" s="824">
        <f t="shared" si="217"/>
        <v>36012</v>
      </c>
      <c r="I120" s="824">
        <f t="shared" si="217"/>
        <v>17864.5785</v>
      </c>
      <c r="J120" s="824">
        <f t="shared" si="217"/>
        <v>40483.148999999998</v>
      </c>
      <c r="K120" s="824">
        <f t="shared" si="211"/>
        <v>2804552.842730769</v>
      </c>
      <c r="L120" s="824">
        <f t="shared" si="212"/>
        <v>420682.92640961532</v>
      </c>
      <c r="M120" s="824">
        <f t="shared" si="213"/>
        <v>3225235.7691403842</v>
      </c>
      <c r="N120" s="824">
        <f t="shared" si="214"/>
        <v>2786688.2642307691</v>
      </c>
      <c r="O120" s="824">
        <f t="shared" si="215"/>
        <v>418003.23963461537</v>
      </c>
      <c r="P120" s="824">
        <f t="shared" si="216"/>
        <v>3204691.5038653845</v>
      </c>
      <c r="Q120" s="824">
        <f>NCong!N207+NCong!N230</f>
        <v>74051.153846153844</v>
      </c>
    </row>
    <row r="121" spans="1:17" s="825" customFormat="1">
      <c r="A121" s="1091"/>
      <c r="B121" s="1105"/>
      <c r="C121" s="1091"/>
      <c r="D121" s="823" t="s">
        <v>34</v>
      </c>
      <c r="E121" s="824">
        <f>NCong!K209+NCong!K230</f>
        <v>2663446.9372499995</v>
      </c>
      <c r="F121" s="824">
        <f>NCong!K210</f>
        <v>107393.89</v>
      </c>
      <c r="G121" s="824">
        <f t="shared" ref="G121:J121" si="218">G114</f>
        <v>16242.580480769229</v>
      </c>
      <c r="H121" s="824">
        <f t="shared" si="218"/>
        <v>36012</v>
      </c>
      <c r="I121" s="824">
        <f t="shared" si="218"/>
        <v>17864.5785</v>
      </c>
      <c r="J121" s="824">
        <f t="shared" si="218"/>
        <v>40483.148999999998</v>
      </c>
      <c r="K121" s="824">
        <f t="shared" si="211"/>
        <v>2881443.1352307689</v>
      </c>
      <c r="L121" s="824">
        <f t="shared" si="212"/>
        <v>432216.47028461535</v>
      </c>
      <c r="M121" s="824">
        <f t="shared" si="213"/>
        <v>3313659.6055153841</v>
      </c>
      <c r="N121" s="824">
        <f t="shared" si="214"/>
        <v>2863578.5567307691</v>
      </c>
      <c r="O121" s="824">
        <f t="shared" si="215"/>
        <v>429536.78350961534</v>
      </c>
      <c r="P121" s="824">
        <f t="shared" si="216"/>
        <v>3293115.3402403845</v>
      </c>
      <c r="Q121" s="824">
        <f>NCong!N209+NCong!N230</f>
        <v>76191.923076923063</v>
      </c>
    </row>
    <row r="122" spans="1:17" s="825" customFormat="1">
      <c r="A122" s="1091" t="s">
        <v>125</v>
      </c>
      <c r="B122" s="1105" t="s">
        <v>715</v>
      </c>
      <c r="C122" s="1091" t="s">
        <v>51</v>
      </c>
      <c r="D122" s="823">
        <v>1</v>
      </c>
      <c r="E122" s="824">
        <f>NCong!M205+NCong!M230</f>
        <v>3271364.1922500003</v>
      </c>
      <c r="F122" s="824">
        <f>F115</f>
        <v>116015.65300000001</v>
      </c>
      <c r="G122" s="824">
        <f t="shared" ref="G122:J122" si="219">G115</f>
        <v>21115.354625</v>
      </c>
      <c r="H122" s="824">
        <f t="shared" si="219"/>
        <v>36012</v>
      </c>
      <c r="I122" s="824">
        <f t="shared" si="219"/>
        <v>28583.3256</v>
      </c>
      <c r="J122" s="824">
        <f t="shared" si="219"/>
        <v>64773.038399999998</v>
      </c>
      <c r="K122" s="824">
        <f t="shared" ref="K122:K124" si="220">SUM(E122:J122)</f>
        <v>3537863.5638750005</v>
      </c>
      <c r="L122" s="824">
        <f t="shared" ref="L122:L124" si="221">K122*15%</f>
        <v>530679.53458125005</v>
      </c>
      <c r="M122" s="824">
        <f t="shared" ref="M122:M124" si="222">K122+L122</f>
        <v>4068543.0984562505</v>
      </c>
      <c r="N122" s="824">
        <f t="shared" ref="N122:N124" si="223">K122-I122</f>
        <v>3509280.2382750004</v>
      </c>
      <c r="O122" s="824">
        <f t="shared" ref="O122:O124" si="224">$L$6*N122</f>
        <v>526392.03574125003</v>
      </c>
      <c r="P122" s="824">
        <f t="shared" ref="P122:P124" si="225">N122+O122</f>
        <v>4035672.2740162504</v>
      </c>
      <c r="Q122" s="824">
        <f>NCong!P205+NCong!P230</f>
        <v>93035.88461538461</v>
      </c>
    </row>
    <row r="123" spans="1:17" s="825" customFormat="1">
      <c r="A123" s="1091"/>
      <c r="B123" s="1105"/>
      <c r="C123" s="1091"/>
      <c r="D123" s="823" t="s">
        <v>33</v>
      </c>
      <c r="E123" s="824">
        <f>NCong!M207+NCong!M230</f>
        <v>3351508.8997499999</v>
      </c>
      <c r="F123" s="824">
        <f t="shared" ref="F123:J124" si="226">F116</f>
        <v>127813.855</v>
      </c>
      <c r="G123" s="824">
        <f t="shared" si="226"/>
        <v>21115.354625</v>
      </c>
      <c r="H123" s="824">
        <f t="shared" si="226"/>
        <v>36012</v>
      </c>
      <c r="I123" s="824">
        <f t="shared" si="226"/>
        <v>28583.3256</v>
      </c>
      <c r="J123" s="824">
        <f t="shared" si="226"/>
        <v>64773.038399999998</v>
      </c>
      <c r="K123" s="824">
        <f t="shared" si="220"/>
        <v>3629806.4733750001</v>
      </c>
      <c r="L123" s="824">
        <f t="shared" si="221"/>
        <v>544470.97100625001</v>
      </c>
      <c r="M123" s="824">
        <f t="shared" si="222"/>
        <v>4174277.4443812501</v>
      </c>
      <c r="N123" s="824">
        <f t="shared" si="223"/>
        <v>3601223.147775</v>
      </c>
      <c r="O123" s="824">
        <f t="shared" si="224"/>
        <v>540183.47216624999</v>
      </c>
      <c r="P123" s="824">
        <f t="shared" si="225"/>
        <v>4141406.61994125</v>
      </c>
      <c r="Q123" s="824">
        <f>NCong!P207+NCong!P230</f>
        <v>95565.884615384595</v>
      </c>
    </row>
    <row r="124" spans="1:17" s="825" customFormat="1">
      <c r="A124" s="1091"/>
      <c r="B124" s="1105"/>
      <c r="C124" s="1091"/>
      <c r="D124" s="823" t="s">
        <v>34</v>
      </c>
      <c r="E124" s="824">
        <f>NCong!M209+NCong!M230</f>
        <v>3439668.0779999997</v>
      </c>
      <c r="F124" s="824">
        <f t="shared" si="226"/>
        <v>139612.057</v>
      </c>
      <c r="G124" s="824">
        <f t="shared" si="226"/>
        <v>21115.354625</v>
      </c>
      <c r="H124" s="824">
        <f t="shared" si="226"/>
        <v>36012</v>
      </c>
      <c r="I124" s="824">
        <f t="shared" si="226"/>
        <v>28583.3256</v>
      </c>
      <c r="J124" s="824">
        <f t="shared" si="226"/>
        <v>64773.038399999998</v>
      </c>
      <c r="K124" s="824">
        <f t="shared" si="220"/>
        <v>3729763.853625</v>
      </c>
      <c r="L124" s="824">
        <f t="shared" si="221"/>
        <v>559464.57804375002</v>
      </c>
      <c r="M124" s="824">
        <f t="shared" si="222"/>
        <v>4289228.43166875</v>
      </c>
      <c r="N124" s="824">
        <f t="shared" si="223"/>
        <v>3701180.5280249999</v>
      </c>
      <c r="O124" s="824">
        <f t="shared" si="224"/>
        <v>555177.07920375001</v>
      </c>
      <c r="P124" s="824">
        <f t="shared" si="225"/>
        <v>4256357.6072287504</v>
      </c>
      <c r="Q124" s="824">
        <f>NCong!P209+NCong!P230</f>
        <v>98348.88461538461</v>
      </c>
    </row>
    <row r="125" spans="1:17" s="770" customFormat="1" ht="14">
      <c r="A125" s="771" t="s">
        <v>126</v>
      </c>
      <c r="B125" s="784" t="s">
        <v>716</v>
      </c>
      <c r="C125" s="771"/>
      <c r="D125" s="771"/>
      <c r="E125" s="776"/>
      <c r="F125" s="776"/>
      <c r="G125" s="776"/>
      <c r="H125" s="776"/>
      <c r="I125" s="776"/>
      <c r="J125" s="776"/>
      <c r="K125" s="776"/>
      <c r="L125" s="776"/>
      <c r="M125" s="776"/>
      <c r="N125" s="776"/>
      <c r="O125" s="776"/>
      <c r="P125" s="776"/>
      <c r="Q125" s="776"/>
    </row>
    <row r="126" spans="1:17" s="770" customFormat="1">
      <c r="A126" s="1089">
        <v>1</v>
      </c>
      <c r="B126" s="1085" t="s">
        <v>697</v>
      </c>
      <c r="C126" s="1084" t="s">
        <v>51</v>
      </c>
      <c r="D126" s="771">
        <v>1</v>
      </c>
      <c r="E126" s="776">
        <f>NCong!K213+NCong!K214+NCong!K215+NCong!K218+NCong!K219+NCong!K220+NCong!K226+NCong!K227+NCong!K251+NCong!K252</f>
        <v>1027445.7764999999</v>
      </c>
      <c r="F126" s="776">
        <f>F112</f>
        <v>89242.81</v>
      </c>
      <c r="G126" s="776">
        <f>G112*0.5</f>
        <v>8121.2902403846147</v>
      </c>
      <c r="H126" s="776">
        <f t="shared" ref="H126:J126" si="227">H112*0.5</f>
        <v>18006</v>
      </c>
      <c r="I126" s="776">
        <f t="shared" si="227"/>
        <v>8932.2892499999998</v>
      </c>
      <c r="J126" s="776">
        <f t="shared" si="227"/>
        <v>20241.574499999999</v>
      </c>
      <c r="K126" s="776">
        <f t="shared" si="203"/>
        <v>1171989.7404903846</v>
      </c>
      <c r="L126" s="776">
        <f t="shared" si="198"/>
        <v>175798.4610735577</v>
      </c>
      <c r="M126" s="776">
        <f t="shared" si="204"/>
        <v>1347788.2015639422</v>
      </c>
      <c r="N126" s="776">
        <f t="shared" si="205"/>
        <v>1163057.4512403847</v>
      </c>
      <c r="O126" s="776">
        <f t="shared" si="201"/>
        <v>174458.6176860577</v>
      </c>
      <c r="P126" s="776">
        <f t="shared" si="206"/>
        <v>1337516.0689264424</v>
      </c>
      <c r="Q126" s="776">
        <f>NCong!N213+NCong!N214+NCong!N215+NCong!N218+NCong!N219+NCong!N220+NCong!N226+NCong!N227+NCong!N251+NCong!N252</f>
        <v>31809.884615384617</v>
      </c>
    </row>
    <row r="127" spans="1:17" s="770" customFormat="1">
      <c r="A127" s="1089"/>
      <c r="B127" s="1085"/>
      <c r="C127" s="1084"/>
      <c r="D127" s="771" t="s">
        <v>33</v>
      </c>
      <c r="E127" s="776">
        <f>NCong!K213+NCong!K214+NCong!K215+NCong!K218+NCong!K219+NCong!K222+NCong!K226+NCong!K227+NCong!K251+NCong!K252</f>
        <v>1089095.5515000001</v>
      </c>
      <c r="F127" s="776">
        <f>F113</f>
        <v>98318.35</v>
      </c>
      <c r="G127" s="776">
        <f>G113*0.5</f>
        <v>8121.2902403846147</v>
      </c>
      <c r="H127" s="776">
        <f t="shared" ref="H127:J128" si="228">H113*0.5</f>
        <v>18006</v>
      </c>
      <c r="I127" s="776">
        <f t="shared" si="228"/>
        <v>8932.2892499999998</v>
      </c>
      <c r="J127" s="776">
        <f t="shared" si="228"/>
        <v>20241.574499999999</v>
      </c>
      <c r="K127" s="776">
        <f t="shared" si="203"/>
        <v>1242715.0554903848</v>
      </c>
      <c r="L127" s="776">
        <f t="shared" si="198"/>
        <v>186407.2583235577</v>
      </c>
      <c r="M127" s="776">
        <f t="shared" si="204"/>
        <v>1429122.3138139425</v>
      </c>
      <c r="N127" s="776">
        <f t="shared" si="205"/>
        <v>1233782.7662403849</v>
      </c>
      <c r="O127" s="776">
        <f t="shared" si="201"/>
        <v>185067.41493605773</v>
      </c>
      <c r="P127" s="776">
        <f t="shared" si="206"/>
        <v>1418850.1811764427</v>
      </c>
      <c r="Q127" s="776">
        <f>NCong!N213+NCong!N214+NCong!N215+NCong!N218+NCong!N219+NCong!N222+NCong!N226+NCong!N227+NCong!N251+NCong!N252</f>
        <v>33756.038461538461</v>
      </c>
    </row>
    <row r="128" spans="1:17" s="770" customFormat="1">
      <c r="A128" s="1089"/>
      <c r="B128" s="1085"/>
      <c r="C128" s="1084"/>
      <c r="D128" s="771" t="s">
        <v>34</v>
      </c>
      <c r="E128" s="776">
        <f>NCong!K213+NCong!K214+NCong!K215+NCong!K218+NCong!K219+NCong!K224+NCong!K226+NCong!K227+NCong!K251+NCong!K252</f>
        <v>1156910.304</v>
      </c>
      <c r="F128" s="776">
        <f>F114</f>
        <v>107393.89</v>
      </c>
      <c r="G128" s="776">
        <f>G114*0.5</f>
        <v>8121.2902403846147</v>
      </c>
      <c r="H128" s="776">
        <f t="shared" si="228"/>
        <v>18006</v>
      </c>
      <c r="I128" s="776">
        <f t="shared" si="228"/>
        <v>8932.2892499999998</v>
      </c>
      <c r="J128" s="776">
        <f t="shared" si="228"/>
        <v>20241.574499999999</v>
      </c>
      <c r="K128" s="776">
        <f t="shared" si="203"/>
        <v>1319605.3479903846</v>
      </c>
      <c r="L128" s="776">
        <f t="shared" si="198"/>
        <v>197940.80219855768</v>
      </c>
      <c r="M128" s="776">
        <f t="shared" si="204"/>
        <v>1517546.1501889422</v>
      </c>
      <c r="N128" s="776">
        <f t="shared" si="205"/>
        <v>1310673.0587403846</v>
      </c>
      <c r="O128" s="776">
        <f t="shared" si="201"/>
        <v>196600.9588110577</v>
      </c>
      <c r="P128" s="776">
        <f t="shared" si="206"/>
        <v>1507274.0175514424</v>
      </c>
      <c r="Q128" s="776">
        <f>NCong!N213+NCong!N214+NCong!N215+NCong!N218+NCong!N219+NCong!N224+NCong!N226+NCong!N227+NCong!N251+NCong!N252</f>
        <v>35896.807692307688</v>
      </c>
    </row>
    <row r="129" spans="1:17" s="770" customFormat="1">
      <c r="A129" s="1089">
        <v>2</v>
      </c>
      <c r="B129" s="1085" t="s">
        <v>715</v>
      </c>
      <c r="C129" s="1084" t="s">
        <v>51</v>
      </c>
      <c r="D129" s="771">
        <v>1</v>
      </c>
      <c r="E129" s="776">
        <f>NCong!M213+NCong!M214+NCong!M215+NCong!M218+NCong!M219+NCong!M220+NCong!M226+NCong!M227+NCong!M251+NCong!M252</f>
        <v>1334339.0775000004</v>
      </c>
      <c r="F129" s="776">
        <f>NCong!M206</f>
        <v>116015.65300000001</v>
      </c>
      <c r="G129" s="776">
        <f>G126*1.3</f>
        <v>10557.6773125</v>
      </c>
      <c r="H129" s="776">
        <f>H126</f>
        <v>18006</v>
      </c>
      <c r="I129" s="776">
        <f>I126*1.3</f>
        <v>11611.976025</v>
      </c>
      <c r="J129" s="776">
        <f>J126*1.3</f>
        <v>26314.046849999999</v>
      </c>
      <c r="K129" s="776">
        <f t="shared" ref="K129:K131" si="229">SUM(E129:J129)</f>
        <v>1516844.4306875004</v>
      </c>
      <c r="L129" s="776">
        <f t="shared" si="198"/>
        <v>227526.66460312504</v>
      </c>
      <c r="M129" s="776">
        <f t="shared" ref="M129:M131" si="230">K129+L129</f>
        <v>1744371.0952906255</v>
      </c>
      <c r="N129" s="776">
        <f t="shared" ref="N129:N131" si="231">K129-I129</f>
        <v>1505232.4546625004</v>
      </c>
      <c r="O129" s="776">
        <f t="shared" si="201"/>
        <v>225784.86819937505</v>
      </c>
      <c r="P129" s="776">
        <f t="shared" ref="P129:P131" si="232">N129+O129</f>
        <v>1731017.3228618754</v>
      </c>
      <c r="Q129" s="776">
        <f>NCong!P213+NCong!P214+NCong!P215+NCong!P218+NCong!P219+NCong!P220+NCong!P226+NCong!P227+NCong!P251+NCong!P252</f>
        <v>41277.923076923078</v>
      </c>
    </row>
    <row r="130" spans="1:17" s="770" customFormat="1">
      <c r="A130" s="1089"/>
      <c r="B130" s="1085"/>
      <c r="C130" s="1084"/>
      <c r="D130" s="771" t="s">
        <v>33</v>
      </c>
      <c r="E130" s="776">
        <f>NCong!M213+NCong!M214+NCong!M215+NCong!M218+NCong!M219+NCong!M222+NCong!M226+NCong!M227+NCong!M251+NCong!M252</f>
        <v>1414483.7850000001</v>
      </c>
      <c r="F130" s="776">
        <f>NCong!M208</f>
        <v>127813.855</v>
      </c>
      <c r="G130" s="776">
        <f t="shared" ref="G130:G131" si="233">G127*1.3</f>
        <v>10557.6773125</v>
      </c>
      <c r="H130" s="776">
        <f t="shared" ref="H130:H131" si="234">H127</f>
        <v>18006</v>
      </c>
      <c r="I130" s="776">
        <f t="shared" ref="I130:J131" si="235">I127*1.3</f>
        <v>11611.976025</v>
      </c>
      <c r="J130" s="776">
        <f t="shared" si="235"/>
        <v>26314.046849999999</v>
      </c>
      <c r="K130" s="776">
        <f t="shared" si="229"/>
        <v>1608787.3401875002</v>
      </c>
      <c r="L130" s="776">
        <f t="shared" si="198"/>
        <v>241318.10102812503</v>
      </c>
      <c r="M130" s="776">
        <f t="shared" si="230"/>
        <v>1850105.4412156253</v>
      </c>
      <c r="N130" s="776">
        <f t="shared" si="231"/>
        <v>1597175.3641625002</v>
      </c>
      <c r="O130" s="776">
        <f t="shared" si="201"/>
        <v>239576.30462437501</v>
      </c>
      <c r="P130" s="776">
        <f t="shared" si="232"/>
        <v>1836751.6687868752</v>
      </c>
      <c r="Q130" s="776">
        <f>NCong!P213+NCong!P214+NCong!P215+NCong!P218+NCong!P219+NCong!P222+NCong!P226+NCong!P227+NCong!P251+NCong!P252</f>
        <v>43807.923076923071</v>
      </c>
    </row>
    <row r="131" spans="1:17" s="770" customFormat="1">
      <c r="A131" s="1089"/>
      <c r="B131" s="1085"/>
      <c r="C131" s="1084"/>
      <c r="D131" s="771" t="s">
        <v>34</v>
      </c>
      <c r="E131" s="776">
        <f>NCong!M213+NCong!M214+NCong!M215+NCong!M218+NCong!M219+NCong!M224+NCong!M226+NCong!M227+NCong!M251+NCong!M252</f>
        <v>1502642.9632500003</v>
      </c>
      <c r="F131" s="776">
        <f>NCong!M210</f>
        <v>139612.057</v>
      </c>
      <c r="G131" s="776">
        <f t="shared" si="233"/>
        <v>10557.6773125</v>
      </c>
      <c r="H131" s="776">
        <f t="shared" si="234"/>
        <v>18006</v>
      </c>
      <c r="I131" s="776">
        <f t="shared" si="235"/>
        <v>11611.976025</v>
      </c>
      <c r="J131" s="776">
        <f t="shared" si="235"/>
        <v>26314.046849999999</v>
      </c>
      <c r="K131" s="776">
        <f t="shared" si="229"/>
        <v>1708744.7204375004</v>
      </c>
      <c r="L131" s="776">
        <f t="shared" si="198"/>
        <v>256311.70806562505</v>
      </c>
      <c r="M131" s="776">
        <f t="shared" si="230"/>
        <v>1965056.4285031254</v>
      </c>
      <c r="N131" s="776">
        <f t="shared" si="231"/>
        <v>1697132.7444125004</v>
      </c>
      <c r="O131" s="776">
        <f t="shared" si="201"/>
        <v>254569.91166187506</v>
      </c>
      <c r="P131" s="776">
        <f t="shared" si="232"/>
        <v>1951702.6560743754</v>
      </c>
      <c r="Q131" s="776">
        <f>NCong!P213+NCong!P214+NCong!P215+NCong!P218+NCong!P219+NCong!P224+NCong!P226+NCong!P227+NCong!P251+NCong!P252</f>
        <v>46590.923076923078</v>
      </c>
    </row>
    <row r="132" spans="1:17" s="770" customFormat="1">
      <c r="A132" s="771" t="s">
        <v>717</v>
      </c>
      <c r="B132" s="784" t="s">
        <v>718</v>
      </c>
      <c r="C132" s="771"/>
      <c r="D132" s="771"/>
      <c r="E132" s="776"/>
      <c r="F132" s="776"/>
      <c r="G132" s="776"/>
      <c r="H132" s="776"/>
      <c r="I132" s="776"/>
      <c r="J132" s="776"/>
      <c r="K132" s="776"/>
      <c r="L132" s="776"/>
      <c r="M132" s="776"/>
      <c r="N132" s="776"/>
      <c r="O132" s="776"/>
      <c r="P132" s="776"/>
      <c r="Q132" s="776"/>
    </row>
    <row r="133" spans="1:17" s="770" customFormat="1">
      <c r="A133" s="1089">
        <v>1</v>
      </c>
      <c r="B133" s="1085" t="s">
        <v>697</v>
      </c>
      <c r="C133" s="1084" t="s">
        <v>51</v>
      </c>
      <c r="D133" s="771">
        <v>1</v>
      </c>
      <c r="E133" s="776">
        <f>NCong!K213+NCong!K214+NCong!K215+NCong!K218+NCong!K219+NCong!K251+NCong!K252</f>
        <v>378861.3015</v>
      </c>
      <c r="F133" s="776"/>
      <c r="G133" s="776">
        <f>G126</f>
        <v>8121.2902403846147</v>
      </c>
      <c r="H133" s="776">
        <f t="shared" ref="H133:J133" si="236">H126</f>
        <v>18006</v>
      </c>
      <c r="I133" s="776">
        <f t="shared" si="236"/>
        <v>8932.2892499999998</v>
      </c>
      <c r="J133" s="776">
        <f t="shared" si="236"/>
        <v>20241.574499999999</v>
      </c>
      <c r="K133" s="776">
        <f t="shared" ref="K133" si="237">SUM(E133:J133)</f>
        <v>434162.4554903846</v>
      </c>
      <c r="L133" s="776">
        <f t="shared" si="198"/>
        <v>65124.36832355769</v>
      </c>
      <c r="M133" s="776">
        <f t="shared" ref="M133" si="238">K133+L133</f>
        <v>499286.82381394226</v>
      </c>
      <c r="N133" s="776">
        <f t="shared" ref="N133" si="239">K133-I133</f>
        <v>425230.16624038463</v>
      </c>
      <c r="O133" s="776">
        <f t="shared" si="201"/>
        <v>63784.524936057693</v>
      </c>
      <c r="P133" s="776">
        <f t="shared" ref="P133" si="240">N133+O133</f>
        <v>489014.69117644231</v>
      </c>
      <c r="Q133" s="776">
        <f>NCong!N213+NCong!N214+NCong!N215+NCong!N218+NCong!N219+NCong!N251+NCong!N252</f>
        <v>11375.26923076923</v>
      </c>
    </row>
    <row r="134" spans="1:17" s="770" customFormat="1">
      <c r="A134" s="1089"/>
      <c r="B134" s="1085"/>
      <c r="C134" s="1084"/>
      <c r="D134" s="771" t="s">
        <v>33</v>
      </c>
      <c r="E134" s="776">
        <f>E133</f>
        <v>378861.3015</v>
      </c>
      <c r="F134" s="776"/>
      <c r="G134" s="776">
        <f t="shared" ref="G134:J134" si="241">G127</f>
        <v>8121.2902403846147</v>
      </c>
      <c r="H134" s="776">
        <f t="shared" si="241"/>
        <v>18006</v>
      </c>
      <c r="I134" s="776">
        <f t="shared" si="241"/>
        <v>8932.2892499999998</v>
      </c>
      <c r="J134" s="776">
        <f t="shared" si="241"/>
        <v>20241.574499999999</v>
      </c>
      <c r="K134" s="776">
        <f t="shared" ref="K134:K138" si="242">SUM(E134:J134)</f>
        <v>434162.4554903846</v>
      </c>
      <c r="L134" s="776">
        <f t="shared" si="198"/>
        <v>65124.36832355769</v>
      </c>
      <c r="M134" s="776">
        <f t="shared" ref="M134:M138" si="243">K134+L134</f>
        <v>499286.82381394226</v>
      </c>
      <c r="N134" s="776">
        <f t="shared" ref="N134:N138" si="244">K134-I134</f>
        <v>425230.16624038463</v>
      </c>
      <c r="O134" s="776">
        <f t="shared" si="201"/>
        <v>63784.524936057693</v>
      </c>
      <c r="P134" s="776">
        <f t="shared" ref="P134:P138" si="245">N134+O134</f>
        <v>489014.69117644231</v>
      </c>
      <c r="Q134" s="776">
        <f>Q133</f>
        <v>11375.26923076923</v>
      </c>
    </row>
    <row r="135" spans="1:17" s="770" customFormat="1">
      <c r="A135" s="1089"/>
      <c r="B135" s="1085"/>
      <c r="C135" s="1084"/>
      <c r="D135" s="771" t="s">
        <v>34</v>
      </c>
      <c r="E135" s="776">
        <f>E133</f>
        <v>378861.3015</v>
      </c>
      <c r="F135" s="776"/>
      <c r="G135" s="776">
        <f t="shared" ref="G135:J135" si="246">G128</f>
        <v>8121.2902403846147</v>
      </c>
      <c r="H135" s="776">
        <f t="shared" si="246"/>
        <v>18006</v>
      </c>
      <c r="I135" s="776">
        <f t="shared" si="246"/>
        <v>8932.2892499999998</v>
      </c>
      <c r="J135" s="776">
        <f t="shared" si="246"/>
        <v>20241.574499999999</v>
      </c>
      <c r="K135" s="776">
        <f t="shared" si="242"/>
        <v>434162.4554903846</v>
      </c>
      <c r="L135" s="776">
        <f t="shared" si="198"/>
        <v>65124.36832355769</v>
      </c>
      <c r="M135" s="776">
        <f t="shared" si="243"/>
        <v>499286.82381394226</v>
      </c>
      <c r="N135" s="776">
        <f t="shared" si="244"/>
        <v>425230.16624038463</v>
      </c>
      <c r="O135" s="776">
        <f t="shared" si="201"/>
        <v>63784.524936057693</v>
      </c>
      <c r="P135" s="776">
        <f t="shared" si="245"/>
        <v>489014.69117644231</v>
      </c>
      <c r="Q135" s="776">
        <f>Q133</f>
        <v>11375.26923076923</v>
      </c>
    </row>
    <row r="136" spans="1:17" s="770" customFormat="1">
      <c r="A136" s="1089">
        <v>2</v>
      </c>
      <c r="B136" s="1085" t="s">
        <v>715</v>
      </c>
      <c r="C136" s="1084" t="s">
        <v>51</v>
      </c>
      <c r="D136" s="771">
        <v>1</v>
      </c>
      <c r="E136" s="776">
        <f>NCong!M213+NCong!M214+NCong!M215+NCong!M218+NCong!M219+NCong!M251+NCong!M252</f>
        <v>500805.27749999991</v>
      </c>
      <c r="F136" s="776"/>
      <c r="G136" s="776">
        <f>G129</f>
        <v>10557.6773125</v>
      </c>
      <c r="H136" s="776">
        <f t="shared" ref="H136:J136" si="247">H129</f>
        <v>18006</v>
      </c>
      <c r="I136" s="776">
        <f t="shared" si="247"/>
        <v>11611.976025</v>
      </c>
      <c r="J136" s="776">
        <f t="shared" si="247"/>
        <v>26314.046849999999</v>
      </c>
      <c r="K136" s="776">
        <f t="shared" si="242"/>
        <v>567294.97768749995</v>
      </c>
      <c r="L136" s="776">
        <f t="shared" si="198"/>
        <v>85094.246653124996</v>
      </c>
      <c r="M136" s="776">
        <f t="shared" si="243"/>
        <v>652389.22434062499</v>
      </c>
      <c r="N136" s="776">
        <f t="shared" si="244"/>
        <v>555683.00166249997</v>
      </c>
      <c r="O136" s="776">
        <f t="shared" si="201"/>
        <v>83352.45024937499</v>
      </c>
      <c r="P136" s="776">
        <f t="shared" si="245"/>
        <v>639035.45191187493</v>
      </c>
      <c r="Q136" s="776">
        <f>NCong!P213+NCong!P214+NCong!P215+NCong!P218+NCong!P219+NCong!P251+NCong!P252</f>
        <v>15004.846153846152</v>
      </c>
    </row>
    <row r="137" spans="1:17" s="770" customFormat="1">
      <c r="A137" s="1089"/>
      <c r="B137" s="1085"/>
      <c r="C137" s="1084"/>
      <c r="D137" s="771" t="s">
        <v>33</v>
      </c>
      <c r="E137" s="776">
        <f>E136</f>
        <v>500805.27749999991</v>
      </c>
      <c r="F137" s="776"/>
      <c r="G137" s="776">
        <f t="shared" ref="G137:J137" si="248">G130</f>
        <v>10557.6773125</v>
      </c>
      <c r="H137" s="776">
        <f t="shared" si="248"/>
        <v>18006</v>
      </c>
      <c r="I137" s="776">
        <f t="shared" si="248"/>
        <v>11611.976025</v>
      </c>
      <c r="J137" s="776">
        <f t="shared" si="248"/>
        <v>26314.046849999999</v>
      </c>
      <c r="K137" s="776">
        <f t="shared" si="242"/>
        <v>567294.97768749995</v>
      </c>
      <c r="L137" s="776">
        <f t="shared" si="198"/>
        <v>85094.246653124996</v>
      </c>
      <c r="M137" s="776">
        <f t="shared" si="243"/>
        <v>652389.22434062499</v>
      </c>
      <c r="N137" s="776">
        <f t="shared" si="244"/>
        <v>555683.00166249997</v>
      </c>
      <c r="O137" s="776">
        <f t="shared" si="201"/>
        <v>83352.45024937499</v>
      </c>
      <c r="P137" s="776">
        <f t="shared" si="245"/>
        <v>639035.45191187493</v>
      </c>
      <c r="Q137" s="776">
        <f>Q136</f>
        <v>15004.846153846152</v>
      </c>
    </row>
    <row r="138" spans="1:17" s="770" customFormat="1">
      <c r="A138" s="1089"/>
      <c r="B138" s="1085"/>
      <c r="C138" s="1084"/>
      <c r="D138" s="771" t="s">
        <v>34</v>
      </c>
      <c r="E138" s="776">
        <f>E137</f>
        <v>500805.27749999991</v>
      </c>
      <c r="F138" s="776"/>
      <c r="G138" s="776">
        <f t="shared" ref="G138:J138" si="249">G131</f>
        <v>10557.6773125</v>
      </c>
      <c r="H138" s="776">
        <f t="shared" si="249"/>
        <v>18006</v>
      </c>
      <c r="I138" s="776">
        <f t="shared" si="249"/>
        <v>11611.976025</v>
      </c>
      <c r="J138" s="776">
        <f t="shared" si="249"/>
        <v>26314.046849999999</v>
      </c>
      <c r="K138" s="776">
        <f t="shared" si="242"/>
        <v>567294.97768749995</v>
      </c>
      <c r="L138" s="776">
        <f t="shared" si="198"/>
        <v>85094.246653124996</v>
      </c>
      <c r="M138" s="776">
        <f t="shared" si="243"/>
        <v>652389.22434062499</v>
      </c>
      <c r="N138" s="776">
        <f t="shared" si="244"/>
        <v>555683.00166249997</v>
      </c>
      <c r="O138" s="776">
        <f t="shared" si="201"/>
        <v>83352.45024937499</v>
      </c>
      <c r="P138" s="776">
        <f t="shared" si="245"/>
        <v>639035.45191187493</v>
      </c>
      <c r="Q138" s="776">
        <f>Q137</f>
        <v>15004.846153846152</v>
      </c>
    </row>
    <row r="139" spans="1:17" s="780" customFormat="1" hidden="1">
      <c r="A139" s="1087" t="str">
        <f>NCong!A205</f>
        <v>III.1</v>
      </c>
      <c r="B139" s="1088" t="str">
        <f>NCong!B205</f>
        <v>CÁC NỘI DUNG THỰC HIỆN TẠI ĐỊA BÀN XÃ, PHƯỜNG, ĐẶC KHU</v>
      </c>
      <c r="C139" s="1087" t="s">
        <v>51</v>
      </c>
      <c r="D139" s="777">
        <f>NCong!F205</f>
        <v>1</v>
      </c>
      <c r="E139" s="779">
        <f>NCong!K205-E$143</f>
        <v>899098.87650000001</v>
      </c>
      <c r="F139" s="779">
        <f>NCong!K206</f>
        <v>89242.81</v>
      </c>
      <c r="G139" s="779">
        <f>Dcu!L$101</f>
        <v>16242.580480769229</v>
      </c>
      <c r="H139" s="779">
        <f>VLieu!J$69</f>
        <v>36012</v>
      </c>
      <c r="I139" s="779">
        <f>Tbi!I$59</f>
        <v>17864.5785</v>
      </c>
      <c r="J139" s="779">
        <f>Tbi!I$66+Dcu!L$100</f>
        <v>40483.148999999998</v>
      </c>
      <c r="K139" s="779">
        <f t="shared" ref="K139:K145" si="250">SUM(E139:J139)</f>
        <v>1098943.9944807694</v>
      </c>
      <c r="L139" s="779">
        <f t="shared" ref="L139:L145" si="251">K139*15%</f>
        <v>164841.59917211541</v>
      </c>
      <c r="M139" s="779">
        <f t="shared" ref="M139:M145" si="252">K139+L139</f>
        <v>1263785.5936528847</v>
      </c>
      <c r="N139" s="779"/>
      <c r="O139" s="779"/>
      <c r="P139" s="779"/>
      <c r="Q139" s="779">
        <f>NCong!N205-Q$143</f>
        <v>27917.576923076922</v>
      </c>
    </row>
    <row r="140" spans="1:17" s="780" customFormat="1" hidden="1">
      <c r="A140" s="1087"/>
      <c r="B140" s="1088"/>
      <c r="C140" s="1087"/>
      <c r="D140" s="777">
        <f>NCong!F207</f>
        <v>2</v>
      </c>
      <c r="E140" s="779">
        <f>NCong!K207-E$143</f>
        <v>960748.65150000004</v>
      </c>
      <c r="F140" s="779">
        <f>NCong!K208</f>
        <v>98318.35</v>
      </c>
      <c r="G140" s="779">
        <f>Dcu!L$101</f>
        <v>16242.580480769229</v>
      </c>
      <c r="H140" s="779">
        <f>VLieu!J$69</f>
        <v>36012</v>
      </c>
      <c r="I140" s="779">
        <f>Tbi!I$59</f>
        <v>17864.5785</v>
      </c>
      <c r="J140" s="779">
        <f>Tbi!I$66+Dcu!L$100</f>
        <v>40483.148999999998</v>
      </c>
      <c r="K140" s="779">
        <f t="shared" si="250"/>
        <v>1169669.3094807693</v>
      </c>
      <c r="L140" s="779">
        <f t="shared" si="251"/>
        <v>175450.39642211539</v>
      </c>
      <c r="M140" s="779">
        <f t="shared" si="252"/>
        <v>1345119.7059028847</v>
      </c>
      <c r="N140" s="779"/>
      <c r="O140" s="779"/>
      <c r="P140" s="779"/>
      <c r="Q140" s="779">
        <f>NCong!N207-Q$143</f>
        <v>29863.73076923077</v>
      </c>
    </row>
    <row r="141" spans="1:17" s="780" customFormat="1" hidden="1">
      <c r="A141" s="1087"/>
      <c r="B141" s="1088"/>
      <c r="C141" s="1087"/>
      <c r="D141" s="777">
        <f>NCong!F209</f>
        <v>3</v>
      </c>
      <c r="E141" s="779">
        <f>NCong!K209-E$143</f>
        <v>1028563.404</v>
      </c>
      <c r="F141" s="779">
        <f>NCong!K210</f>
        <v>107393.89</v>
      </c>
      <c r="G141" s="779">
        <f>Dcu!L$101</f>
        <v>16242.580480769229</v>
      </c>
      <c r="H141" s="779">
        <f>VLieu!J$69</f>
        <v>36012</v>
      </c>
      <c r="I141" s="779">
        <f>Tbi!I$59</f>
        <v>17864.5785</v>
      </c>
      <c r="J141" s="779">
        <f>Tbi!I$66+Dcu!L$100</f>
        <v>40483.148999999998</v>
      </c>
      <c r="K141" s="779">
        <f t="shared" si="250"/>
        <v>1246559.6019807693</v>
      </c>
      <c r="L141" s="779">
        <f t="shared" si="251"/>
        <v>186983.94029711539</v>
      </c>
      <c r="M141" s="779">
        <f t="shared" si="252"/>
        <v>1433543.5422778847</v>
      </c>
      <c r="N141" s="779"/>
      <c r="O141" s="779"/>
      <c r="P141" s="779"/>
      <c r="Q141" s="779">
        <f>NCong!N209-Q$143</f>
        <v>32004.499999999996</v>
      </c>
    </row>
    <row r="142" spans="1:17" hidden="1">
      <c r="A142" s="785"/>
      <c r="B142" s="787"/>
      <c r="C142" s="785"/>
      <c r="D142" s="785"/>
      <c r="E142" s="788">
        <v>0</v>
      </c>
      <c r="F142" s="788"/>
      <c r="G142" s="788"/>
      <c r="H142" s="788"/>
      <c r="I142" s="788"/>
      <c r="J142" s="788"/>
      <c r="K142" s="788">
        <f t="shared" si="250"/>
        <v>0</v>
      </c>
      <c r="L142" s="788">
        <f t="shared" si="251"/>
        <v>0</v>
      </c>
      <c r="M142" s="788">
        <f t="shared" si="252"/>
        <v>0</v>
      </c>
      <c r="N142" s="788"/>
      <c r="O142" s="788"/>
      <c r="P142" s="788"/>
      <c r="Q142" s="788"/>
    </row>
    <row r="143" spans="1:17" s="793" customFormat="1" hidden="1">
      <c r="A143" s="789"/>
      <c r="B143" s="790"/>
      <c r="C143" s="789"/>
      <c r="D143" s="791" t="s">
        <v>31</v>
      </c>
      <c r="E143" s="792">
        <v>0</v>
      </c>
      <c r="F143" s="792"/>
      <c r="G143" s="792"/>
      <c r="H143" s="792"/>
      <c r="I143" s="792"/>
      <c r="J143" s="792"/>
      <c r="K143" s="792">
        <f t="shared" si="250"/>
        <v>0</v>
      </c>
      <c r="L143" s="792">
        <f t="shared" si="251"/>
        <v>0</v>
      </c>
      <c r="M143" s="792">
        <f t="shared" si="252"/>
        <v>0</v>
      </c>
      <c r="N143" s="792"/>
      <c r="O143" s="792"/>
      <c r="P143" s="792"/>
      <c r="Q143" s="792"/>
    </row>
    <row r="144" spans="1:17" s="793" customFormat="1" hidden="1">
      <c r="A144" s="789"/>
      <c r="B144" s="790"/>
      <c r="C144" s="789"/>
      <c r="D144" s="791" t="s">
        <v>31</v>
      </c>
      <c r="E144" s="792">
        <v>0</v>
      </c>
      <c r="F144" s="792"/>
      <c r="G144" s="792"/>
      <c r="H144" s="792"/>
      <c r="I144" s="792"/>
      <c r="J144" s="792"/>
      <c r="K144" s="792">
        <f t="shared" si="250"/>
        <v>0</v>
      </c>
      <c r="L144" s="792">
        <f t="shared" si="251"/>
        <v>0</v>
      </c>
      <c r="M144" s="792">
        <f t="shared" si="252"/>
        <v>0</v>
      </c>
      <c r="N144" s="792"/>
      <c r="O144" s="792"/>
      <c r="P144" s="792"/>
      <c r="Q144" s="792"/>
    </row>
    <row r="145" spans="1:17" s="780" customFormat="1" hidden="1">
      <c r="A145" s="777" t="str">
        <f>NCong!A229</f>
        <v>III.2.1</v>
      </c>
      <c r="B145" s="777" t="str">
        <f>NCong!B229</f>
        <v>TRƯỜNG HỢP CÓ HỢP ĐỒNG THUÊ ĐẤT</v>
      </c>
      <c r="C145" s="777" t="s">
        <v>51</v>
      </c>
      <c r="D145" s="791" t="s">
        <v>31</v>
      </c>
      <c r="E145" s="779">
        <f>NCong!K229</f>
        <v>1706988.5332499996</v>
      </c>
      <c r="F145" s="779"/>
      <c r="G145" s="779">
        <f>Dcu!K101</f>
        <v>0</v>
      </c>
      <c r="H145" s="779">
        <f>VLieu!I69</f>
        <v>0</v>
      </c>
      <c r="I145" s="779"/>
      <c r="J145" s="779">
        <f>Dcu!K100</f>
        <v>0</v>
      </c>
      <c r="K145" s="794">
        <f t="shared" si="250"/>
        <v>1706988.5332499996</v>
      </c>
      <c r="L145" s="794">
        <f t="shared" si="251"/>
        <v>256048.27998749993</v>
      </c>
      <c r="M145" s="794">
        <f t="shared" si="252"/>
        <v>1963036.8132374994</v>
      </c>
      <c r="N145" s="794"/>
      <c r="O145" s="794"/>
      <c r="P145" s="794"/>
      <c r="Q145" s="794">
        <f>NCong!N229</f>
        <v>46133.576923076922</v>
      </c>
    </row>
    <row r="146" spans="1:17" s="780" customFormat="1" ht="14.25" customHeight="1">
      <c r="A146" s="771" t="s">
        <v>540</v>
      </c>
      <c r="B146" s="1100" t="str">
        <f>NCong!B260</f>
        <v>Đăng ký, cấp đổi Giấy chứng nhận đồng loạt tại xã, phường</v>
      </c>
      <c r="C146" s="1099"/>
      <c r="D146" s="1099"/>
      <c r="E146" s="1099"/>
      <c r="F146" s="1099"/>
      <c r="G146" s="1099"/>
      <c r="H146" s="1099"/>
      <c r="I146" s="1099"/>
      <c r="J146" s="1099"/>
      <c r="K146" s="1099"/>
      <c r="L146" s="1099"/>
      <c r="M146" s="1099"/>
      <c r="N146" s="1099"/>
      <c r="O146" s="1099"/>
      <c r="P146" s="1099"/>
      <c r="Q146" s="794"/>
    </row>
    <row r="147" spans="1:17" s="780" customFormat="1" ht="11.25" customHeight="1">
      <c r="A147" s="771" t="s">
        <v>19</v>
      </c>
      <c r="B147" s="834" t="s">
        <v>820</v>
      </c>
      <c r="C147" s="775"/>
      <c r="D147" s="775"/>
      <c r="E147" s="775"/>
      <c r="F147" s="775"/>
      <c r="G147" s="775"/>
      <c r="H147" s="775"/>
      <c r="I147" s="775"/>
      <c r="J147" s="775"/>
      <c r="K147" s="775"/>
      <c r="L147" s="775"/>
      <c r="M147" s="775"/>
      <c r="N147" s="775"/>
      <c r="O147" s="775"/>
      <c r="P147" s="775"/>
      <c r="Q147" s="794"/>
    </row>
    <row r="148" spans="1:17" s="770" customFormat="1">
      <c r="A148" s="1089" t="s">
        <v>127</v>
      </c>
      <c r="B148" s="1097" t="s">
        <v>719</v>
      </c>
      <c r="C148" s="1089" t="s">
        <v>51</v>
      </c>
      <c r="D148" s="785">
        <v>1</v>
      </c>
      <c r="E148" s="776">
        <f t="shared" ref="E148:F150" si="253">E193+E$205</f>
        <v>669679.05601874995</v>
      </c>
      <c r="F148" s="776">
        <f t="shared" si="253"/>
        <v>850.83187499999997</v>
      </c>
      <c r="G148" s="776">
        <f>Dcu!J128+Dcu!L128</f>
        <v>7207.9835569997858</v>
      </c>
      <c r="H148" s="776">
        <f t="shared" ref="H148:J150" si="254">H193+H$205</f>
        <v>45430.5</v>
      </c>
      <c r="I148" s="776">
        <f t="shared" si="254"/>
        <v>8019.7994285714285</v>
      </c>
      <c r="J148" s="776">
        <f t="shared" si="254"/>
        <v>12380.4555</v>
      </c>
      <c r="K148" s="776">
        <f t="shared" ref="K148" si="255">SUM(E148:J148)</f>
        <v>743568.62637932133</v>
      </c>
      <c r="L148" s="776">
        <f t="shared" ref="L148:L169" si="256">K148*15%</f>
        <v>111535.2939568982</v>
      </c>
      <c r="M148" s="776">
        <f t="shared" ref="M148" si="257">K148+L148</f>
        <v>855103.92033621948</v>
      </c>
      <c r="N148" s="776">
        <f t="shared" ref="N148" si="258">K148-I148</f>
        <v>735548.82695074985</v>
      </c>
      <c r="O148" s="776">
        <f t="shared" ref="O148:O169" si="259">$L$6*N148</f>
        <v>110332.32404261247</v>
      </c>
      <c r="P148" s="776">
        <f t="shared" ref="P148" si="260">N148+O148</f>
        <v>845881.1509933623</v>
      </c>
      <c r="Q148" s="776">
        <f t="shared" ref="Q148:Q150" si="261">Q193+Q$205</f>
        <v>19572.469230769224</v>
      </c>
    </row>
    <row r="149" spans="1:17" s="770" customFormat="1">
      <c r="A149" s="1089"/>
      <c r="B149" s="1097"/>
      <c r="C149" s="1089"/>
      <c r="D149" s="785">
        <v>2</v>
      </c>
      <c r="E149" s="776">
        <f t="shared" si="253"/>
        <v>669679.05601874995</v>
      </c>
      <c r="F149" s="776">
        <f t="shared" si="253"/>
        <v>850.83187499999997</v>
      </c>
      <c r="G149" s="776">
        <f>Dcu!J129+Dcu!L129</f>
        <v>7893.8250806645292</v>
      </c>
      <c r="H149" s="776">
        <f t="shared" si="254"/>
        <v>45430.5</v>
      </c>
      <c r="I149" s="776">
        <f t="shared" si="254"/>
        <v>8019.7994285714285</v>
      </c>
      <c r="J149" s="776">
        <f t="shared" si="254"/>
        <v>12380.4555</v>
      </c>
      <c r="K149" s="776">
        <f t="shared" ref="K149:K156" si="262">SUM(E149:J149)</f>
        <v>744254.46790298598</v>
      </c>
      <c r="L149" s="776">
        <f t="shared" si="256"/>
        <v>111638.17018544789</v>
      </c>
      <c r="M149" s="776">
        <f t="shared" ref="M149:M156" si="263">K149+L149</f>
        <v>855892.63808843389</v>
      </c>
      <c r="N149" s="776">
        <f t="shared" ref="N149:N156" si="264">K149-I149</f>
        <v>736234.6684744145</v>
      </c>
      <c r="O149" s="776">
        <f t="shared" si="259"/>
        <v>110435.20027116218</v>
      </c>
      <c r="P149" s="776">
        <f t="shared" ref="P149:P156" si="265">N149+O149</f>
        <v>846669.86874557671</v>
      </c>
      <c r="Q149" s="776">
        <f t="shared" si="261"/>
        <v>19572.469230769224</v>
      </c>
    </row>
    <row r="150" spans="1:17" s="770" customFormat="1">
      <c r="A150" s="1089"/>
      <c r="B150" s="1097"/>
      <c r="C150" s="1089"/>
      <c r="D150" s="785">
        <v>3</v>
      </c>
      <c r="E150" s="776">
        <f t="shared" si="253"/>
        <v>669679.05601874995</v>
      </c>
      <c r="F150" s="776">
        <f t="shared" si="253"/>
        <v>850.83187499999997</v>
      </c>
      <c r="G150" s="776">
        <f>Dcu!J130+Dcu!L130</f>
        <v>8579.6666043292753</v>
      </c>
      <c r="H150" s="776">
        <f t="shared" si="254"/>
        <v>45430.5</v>
      </c>
      <c r="I150" s="776">
        <f t="shared" si="254"/>
        <v>8019.7994285714285</v>
      </c>
      <c r="J150" s="776">
        <f t="shared" si="254"/>
        <v>12380.4555</v>
      </c>
      <c r="K150" s="776">
        <f t="shared" si="262"/>
        <v>744940.30942665075</v>
      </c>
      <c r="L150" s="776">
        <f t="shared" si="256"/>
        <v>111741.04641399761</v>
      </c>
      <c r="M150" s="776">
        <f t="shared" si="263"/>
        <v>856681.35584064841</v>
      </c>
      <c r="N150" s="776">
        <f t="shared" si="264"/>
        <v>736920.50999807927</v>
      </c>
      <c r="O150" s="776">
        <f t="shared" si="259"/>
        <v>110538.07649971188</v>
      </c>
      <c r="P150" s="776">
        <f t="shared" si="265"/>
        <v>847458.58649779111</v>
      </c>
      <c r="Q150" s="776">
        <f t="shared" si="261"/>
        <v>19572.469230769224</v>
      </c>
    </row>
    <row r="151" spans="1:17" s="770" customFormat="1">
      <c r="A151" s="1089" t="s">
        <v>127</v>
      </c>
      <c r="B151" s="1097" t="s">
        <v>721</v>
      </c>
      <c r="C151" s="1089" t="s">
        <v>51</v>
      </c>
      <c r="D151" s="785">
        <v>1</v>
      </c>
      <c r="E151" s="776">
        <f>E148</f>
        <v>669679.05601874995</v>
      </c>
      <c r="F151" s="776">
        <f t="shared" ref="F151:J151" si="266">F148</f>
        <v>850.83187499999997</v>
      </c>
      <c r="G151" s="776">
        <f t="shared" si="266"/>
        <v>7207.9835569997858</v>
      </c>
      <c r="H151" s="776">
        <f t="shared" si="266"/>
        <v>45430.5</v>
      </c>
      <c r="I151" s="776">
        <f t="shared" si="266"/>
        <v>8019.7994285714285</v>
      </c>
      <c r="J151" s="776">
        <f t="shared" si="266"/>
        <v>12380.4555</v>
      </c>
      <c r="K151" s="776">
        <f t="shared" si="262"/>
        <v>743568.62637932133</v>
      </c>
      <c r="L151" s="776">
        <f t="shared" si="256"/>
        <v>111535.2939568982</v>
      </c>
      <c r="M151" s="776">
        <f t="shared" si="263"/>
        <v>855103.92033621948</v>
      </c>
      <c r="N151" s="776">
        <f t="shared" si="264"/>
        <v>735548.82695074985</v>
      </c>
      <c r="O151" s="776">
        <f t="shared" si="259"/>
        <v>110332.32404261247</v>
      </c>
      <c r="P151" s="776">
        <f t="shared" si="265"/>
        <v>845881.1509933623</v>
      </c>
      <c r="Q151" s="776">
        <f>Q148</f>
        <v>19572.469230769224</v>
      </c>
    </row>
    <row r="152" spans="1:17" s="770" customFormat="1">
      <c r="A152" s="1089"/>
      <c r="B152" s="1097"/>
      <c r="C152" s="1089"/>
      <c r="D152" s="785">
        <v>2</v>
      </c>
      <c r="E152" s="776">
        <f t="shared" ref="E152:J152" si="267">E149</f>
        <v>669679.05601874995</v>
      </c>
      <c r="F152" s="776">
        <f t="shared" si="267"/>
        <v>850.83187499999997</v>
      </c>
      <c r="G152" s="776">
        <f t="shared" si="267"/>
        <v>7893.8250806645292</v>
      </c>
      <c r="H152" s="776">
        <f t="shared" si="267"/>
        <v>45430.5</v>
      </c>
      <c r="I152" s="776">
        <f t="shared" si="267"/>
        <v>8019.7994285714285</v>
      </c>
      <c r="J152" s="776">
        <f t="shared" si="267"/>
        <v>12380.4555</v>
      </c>
      <c r="K152" s="776">
        <f t="shared" si="262"/>
        <v>744254.46790298598</v>
      </c>
      <c r="L152" s="776">
        <f t="shared" si="256"/>
        <v>111638.17018544789</v>
      </c>
      <c r="M152" s="776">
        <f t="shared" si="263"/>
        <v>855892.63808843389</v>
      </c>
      <c r="N152" s="776">
        <f t="shared" si="264"/>
        <v>736234.6684744145</v>
      </c>
      <c r="O152" s="776">
        <f t="shared" si="259"/>
        <v>110435.20027116218</v>
      </c>
      <c r="P152" s="776">
        <f t="shared" si="265"/>
        <v>846669.86874557671</v>
      </c>
      <c r="Q152" s="776">
        <f t="shared" ref="Q152:Q153" si="268">Q149</f>
        <v>19572.469230769224</v>
      </c>
    </row>
    <row r="153" spans="1:17" s="770" customFormat="1">
      <c r="A153" s="1089"/>
      <c r="B153" s="1097"/>
      <c r="C153" s="1089"/>
      <c r="D153" s="785">
        <v>3</v>
      </c>
      <c r="E153" s="776">
        <f t="shared" ref="E153:J153" si="269">E150</f>
        <v>669679.05601874995</v>
      </c>
      <c r="F153" s="776">
        <f t="shared" si="269"/>
        <v>850.83187499999997</v>
      </c>
      <c r="G153" s="776">
        <f t="shared" si="269"/>
        <v>8579.6666043292753</v>
      </c>
      <c r="H153" s="776">
        <f t="shared" si="269"/>
        <v>45430.5</v>
      </c>
      <c r="I153" s="776">
        <f t="shared" si="269"/>
        <v>8019.7994285714285</v>
      </c>
      <c r="J153" s="776">
        <f t="shared" si="269"/>
        <v>12380.4555</v>
      </c>
      <c r="K153" s="776">
        <f t="shared" si="262"/>
        <v>744940.30942665075</v>
      </c>
      <c r="L153" s="776">
        <f t="shared" si="256"/>
        <v>111741.04641399761</v>
      </c>
      <c r="M153" s="776">
        <f t="shared" si="263"/>
        <v>856681.35584064841</v>
      </c>
      <c r="N153" s="776">
        <f t="shared" si="264"/>
        <v>736920.50999807927</v>
      </c>
      <c r="O153" s="776">
        <f t="shared" si="259"/>
        <v>110538.07649971188</v>
      </c>
      <c r="P153" s="776">
        <f t="shared" si="265"/>
        <v>847458.58649779111</v>
      </c>
      <c r="Q153" s="776">
        <f t="shared" si="268"/>
        <v>19572.469230769224</v>
      </c>
    </row>
    <row r="154" spans="1:17" s="770" customFormat="1">
      <c r="A154" s="1089" t="s">
        <v>129</v>
      </c>
      <c r="B154" s="1097" t="s">
        <v>720</v>
      </c>
      <c r="C154" s="1089" t="s">
        <v>51</v>
      </c>
      <c r="D154" s="785">
        <v>1</v>
      </c>
      <c r="E154" s="776">
        <f>E148*1.3</f>
        <v>870582.77282437496</v>
      </c>
      <c r="F154" s="776">
        <f>F148*1.3</f>
        <v>1106.0814375</v>
      </c>
      <c r="G154" s="776">
        <f>G148*1.3</f>
        <v>9370.3786240997215</v>
      </c>
      <c r="H154" s="776">
        <f>H148</f>
        <v>45430.5</v>
      </c>
      <c r="I154" s="776">
        <f>I148*1.3</f>
        <v>10425.739257142857</v>
      </c>
      <c r="J154" s="776">
        <f>J148*1.3</f>
        <v>16094.59215</v>
      </c>
      <c r="K154" s="776">
        <f t="shared" si="262"/>
        <v>953010.06429311761</v>
      </c>
      <c r="L154" s="776">
        <f t="shared" si="256"/>
        <v>142951.50964396764</v>
      </c>
      <c r="M154" s="776">
        <f t="shared" si="263"/>
        <v>1095961.5739370852</v>
      </c>
      <c r="N154" s="776">
        <f t="shared" si="264"/>
        <v>942584.32503597473</v>
      </c>
      <c r="O154" s="776">
        <f t="shared" si="259"/>
        <v>141387.64875539619</v>
      </c>
      <c r="P154" s="776">
        <f t="shared" si="265"/>
        <v>1083971.9737913709</v>
      </c>
      <c r="Q154" s="776">
        <f>Q148*1.3</f>
        <v>25444.209999999992</v>
      </c>
    </row>
    <row r="155" spans="1:17" s="770" customFormat="1">
      <c r="A155" s="1089"/>
      <c r="B155" s="1097"/>
      <c r="C155" s="1089"/>
      <c r="D155" s="785">
        <v>2</v>
      </c>
      <c r="E155" s="776">
        <f t="shared" ref="E155:G156" si="270">E149*1.3</f>
        <v>870582.77282437496</v>
      </c>
      <c r="F155" s="776">
        <f t="shared" si="270"/>
        <v>1106.0814375</v>
      </c>
      <c r="G155" s="776">
        <f t="shared" si="270"/>
        <v>10261.972604863888</v>
      </c>
      <c r="H155" s="776">
        <f t="shared" ref="H155:H156" si="271">H149</f>
        <v>45430.5</v>
      </c>
      <c r="I155" s="776">
        <f t="shared" ref="I155:J156" si="272">I149*1.3</f>
        <v>10425.739257142857</v>
      </c>
      <c r="J155" s="776">
        <f t="shared" si="272"/>
        <v>16094.59215</v>
      </c>
      <c r="K155" s="776">
        <f t="shared" si="262"/>
        <v>953901.65827388177</v>
      </c>
      <c r="L155" s="776">
        <f t="shared" si="256"/>
        <v>143085.24874108227</v>
      </c>
      <c r="M155" s="776">
        <f t="shared" si="263"/>
        <v>1096986.9070149641</v>
      </c>
      <c r="N155" s="776">
        <f t="shared" si="264"/>
        <v>943475.91901673889</v>
      </c>
      <c r="O155" s="776">
        <f t="shared" si="259"/>
        <v>141521.38785251082</v>
      </c>
      <c r="P155" s="776">
        <f t="shared" si="265"/>
        <v>1084997.3068692498</v>
      </c>
      <c r="Q155" s="776">
        <f t="shared" ref="Q155:Q156" si="273">Q149*1.3</f>
        <v>25444.209999999992</v>
      </c>
    </row>
    <row r="156" spans="1:17" s="770" customFormat="1">
      <c r="A156" s="1089"/>
      <c r="B156" s="1097"/>
      <c r="C156" s="1089"/>
      <c r="D156" s="785">
        <v>3</v>
      </c>
      <c r="E156" s="776">
        <f t="shared" si="270"/>
        <v>870582.77282437496</v>
      </c>
      <c r="F156" s="776">
        <f t="shared" si="270"/>
        <v>1106.0814375</v>
      </c>
      <c r="G156" s="776">
        <f t="shared" si="270"/>
        <v>11153.566585628058</v>
      </c>
      <c r="H156" s="776">
        <f t="shared" si="271"/>
        <v>45430.5</v>
      </c>
      <c r="I156" s="776">
        <f t="shared" si="272"/>
        <v>10425.739257142857</v>
      </c>
      <c r="J156" s="776">
        <f t="shared" si="272"/>
        <v>16094.59215</v>
      </c>
      <c r="K156" s="776">
        <f t="shared" si="262"/>
        <v>954793.25225464592</v>
      </c>
      <c r="L156" s="776">
        <f t="shared" si="256"/>
        <v>143218.98783819689</v>
      </c>
      <c r="M156" s="776">
        <f t="shared" si="263"/>
        <v>1098012.2400928428</v>
      </c>
      <c r="N156" s="776">
        <f t="shared" si="264"/>
        <v>944367.51299750304</v>
      </c>
      <c r="O156" s="776">
        <f t="shared" si="259"/>
        <v>141655.12694962544</v>
      </c>
      <c r="P156" s="776">
        <f t="shared" si="265"/>
        <v>1086022.6399471285</v>
      </c>
      <c r="Q156" s="776">
        <f t="shared" si="273"/>
        <v>25444.209999999992</v>
      </c>
    </row>
    <row r="157" spans="1:17" s="770" customFormat="1">
      <c r="A157" s="1084" t="s">
        <v>130</v>
      </c>
      <c r="B157" s="1100" t="s">
        <v>722</v>
      </c>
      <c r="C157" s="1084" t="s">
        <v>51</v>
      </c>
      <c r="D157" s="771">
        <v>1</v>
      </c>
      <c r="E157" s="776">
        <f>0.3*(NCong!I282+NCong!I283+NCong!I286+NCong!I287+NCong!I290+NCong!I291+NCong!I292+NCong!I293+NCong!I295+NCong!I298+NCong!I302+NCong!I303+NCong!I304+NCong!I312+NCong!I315+NCong!I316+NCong!I317+NCong!I319+NCong!I320)</f>
        <v>182502.34268062501</v>
      </c>
      <c r="F157" s="776"/>
      <c r="G157" s="776">
        <f>Dcu!J132+Dcu!L132</f>
        <v>2258.4524284188037</v>
      </c>
      <c r="H157" s="776">
        <f>H148*0.3</f>
        <v>13629.15</v>
      </c>
      <c r="I157" s="776">
        <f>Tbi!I92+Tbi!I93</f>
        <v>1808.1043285714286</v>
      </c>
      <c r="J157" s="776">
        <f>Tbi!I79*Tbi!H92+Tbi!I86*Tbi!H93</f>
        <v>2887.9678800000002</v>
      </c>
      <c r="K157" s="776">
        <f t="shared" ref="K157:K163" si="274">SUM(E157:J157)</f>
        <v>203086.01731761525</v>
      </c>
      <c r="L157" s="776">
        <f t="shared" si="256"/>
        <v>30462.902597642285</v>
      </c>
      <c r="M157" s="776">
        <f t="shared" ref="M157:M163" si="275">K157+L157</f>
        <v>233548.91991525755</v>
      </c>
      <c r="N157" s="776">
        <f t="shared" ref="N157:N163" si="276">K157-I157</f>
        <v>201277.91298904381</v>
      </c>
      <c r="O157" s="776">
        <f t="shared" si="259"/>
        <v>30191.686948356568</v>
      </c>
      <c r="P157" s="776">
        <f t="shared" ref="P157:P163" si="277">N157+O157</f>
        <v>231469.59993740037</v>
      </c>
      <c r="Q157" s="776">
        <f>0.3*(NCong!J282+NCong!J283+NCong!J286+NCong!J287+NCong!J290+NCong!J291+NCong!J292+NCong!J293+NCong!J295+NCong!J298+NCong!J302+NCong!J303+NCong!J304+NCong!J312+NCong!J315+NCong!J316+NCong!J317+NCong!J319+NCong!J320)</f>
        <v>5315.9922115384597</v>
      </c>
    </row>
    <row r="158" spans="1:17" s="770" customFormat="1">
      <c r="A158" s="1084"/>
      <c r="B158" s="1100"/>
      <c r="C158" s="1084"/>
      <c r="D158" s="771">
        <v>2</v>
      </c>
      <c r="E158" s="776">
        <f>E157</f>
        <v>182502.34268062501</v>
      </c>
      <c r="F158" s="776"/>
      <c r="G158" s="776">
        <f>G157</f>
        <v>2258.4524284188037</v>
      </c>
      <c r="H158" s="776">
        <f t="shared" ref="H158:H159" si="278">H149*0.3</f>
        <v>13629.15</v>
      </c>
      <c r="I158" s="776">
        <f>I157</f>
        <v>1808.1043285714286</v>
      </c>
      <c r="J158" s="776">
        <f>J157</f>
        <v>2887.9678800000002</v>
      </c>
      <c r="K158" s="776">
        <f t="shared" si="274"/>
        <v>203086.01731761525</v>
      </c>
      <c r="L158" s="776">
        <f t="shared" si="256"/>
        <v>30462.902597642285</v>
      </c>
      <c r="M158" s="776">
        <f t="shared" si="275"/>
        <v>233548.91991525755</v>
      </c>
      <c r="N158" s="776">
        <f t="shared" si="276"/>
        <v>201277.91298904381</v>
      </c>
      <c r="O158" s="776">
        <f t="shared" si="259"/>
        <v>30191.686948356568</v>
      </c>
      <c r="P158" s="776">
        <f t="shared" si="277"/>
        <v>231469.59993740037</v>
      </c>
      <c r="Q158" s="776">
        <f>Q157</f>
        <v>5315.9922115384597</v>
      </c>
    </row>
    <row r="159" spans="1:17" s="770" customFormat="1">
      <c r="A159" s="1084"/>
      <c r="B159" s="1100"/>
      <c r="C159" s="1084"/>
      <c r="D159" s="771">
        <v>3</v>
      </c>
      <c r="E159" s="776">
        <f>E158</f>
        <v>182502.34268062501</v>
      </c>
      <c r="F159" s="776"/>
      <c r="G159" s="776">
        <f>G158</f>
        <v>2258.4524284188037</v>
      </c>
      <c r="H159" s="776">
        <f t="shared" si="278"/>
        <v>13629.15</v>
      </c>
      <c r="I159" s="776">
        <f>I158</f>
        <v>1808.1043285714286</v>
      </c>
      <c r="J159" s="776">
        <f>J158</f>
        <v>2887.9678800000002</v>
      </c>
      <c r="K159" s="776">
        <f t="shared" si="274"/>
        <v>203086.01731761525</v>
      </c>
      <c r="L159" s="776">
        <f t="shared" si="256"/>
        <v>30462.902597642285</v>
      </c>
      <c r="M159" s="776">
        <f t="shared" si="275"/>
        <v>233548.91991525755</v>
      </c>
      <c r="N159" s="776">
        <f t="shared" si="276"/>
        <v>201277.91298904381</v>
      </c>
      <c r="O159" s="776">
        <f t="shared" si="259"/>
        <v>30191.686948356568</v>
      </c>
      <c r="P159" s="776">
        <f t="shared" si="277"/>
        <v>231469.59993740037</v>
      </c>
      <c r="Q159" s="776">
        <f>Q158</f>
        <v>5315.9922115384597</v>
      </c>
    </row>
    <row r="160" spans="1:17" s="770" customFormat="1">
      <c r="A160" s="771" t="s">
        <v>723</v>
      </c>
      <c r="B160" s="774" t="s">
        <v>724</v>
      </c>
      <c r="C160" s="771"/>
      <c r="D160" s="771"/>
      <c r="E160" s="776"/>
      <c r="F160" s="776"/>
      <c r="G160" s="776"/>
      <c r="H160" s="776"/>
      <c r="I160" s="776"/>
      <c r="J160" s="776"/>
      <c r="K160" s="776"/>
      <c r="L160" s="776"/>
      <c r="M160" s="776"/>
      <c r="N160" s="776"/>
      <c r="O160" s="776"/>
      <c r="P160" s="776"/>
      <c r="Q160" s="776"/>
    </row>
    <row r="161" spans="1:17" s="770" customFormat="1">
      <c r="A161" s="1089">
        <v>1</v>
      </c>
      <c r="B161" s="1097" t="s">
        <v>725</v>
      </c>
      <c r="C161" s="1089" t="s">
        <v>51</v>
      </c>
      <c r="D161" s="785">
        <v>1</v>
      </c>
      <c r="E161" s="776">
        <f>E148*0.9</f>
        <v>602711.15041687503</v>
      </c>
      <c r="F161" s="776">
        <f t="shared" ref="E161:F163" si="279">F148*0.9</f>
        <v>765.74868749999996</v>
      </c>
      <c r="G161" s="776">
        <f t="shared" ref="G161:J161" si="280">G148*0.9</f>
        <v>6487.185201299807</v>
      </c>
      <c r="H161" s="776">
        <f t="shared" si="280"/>
        <v>40887.450000000004</v>
      </c>
      <c r="I161" s="776">
        <f t="shared" si="280"/>
        <v>7217.8194857142862</v>
      </c>
      <c r="J161" s="776">
        <f t="shared" si="280"/>
        <v>11142.409950000001</v>
      </c>
      <c r="K161" s="776">
        <f t="shared" si="274"/>
        <v>669211.76374138915</v>
      </c>
      <c r="L161" s="776">
        <f t="shared" si="256"/>
        <v>100381.76456120837</v>
      </c>
      <c r="M161" s="776">
        <f t="shared" si="275"/>
        <v>769593.52830259758</v>
      </c>
      <c r="N161" s="776">
        <f t="shared" si="276"/>
        <v>661993.94425567484</v>
      </c>
      <c r="O161" s="776">
        <f t="shared" si="259"/>
        <v>99299.091638351223</v>
      </c>
      <c r="P161" s="776">
        <f t="shared" si="277"/>
        <v>761293.03589402605</v>
      </c>
      <c r="Q161" s="776">
        <f>Q148*0.9</f>
        <v>17615.222307692304</v>
      </c>
    </row>
    <row r="162" spans="1:17" s="770" customFormat="1">
      <c r="A162" s="1089"/>
      <c r="B162" s="1097"/>
      <c r="C162" s="1089"/>
      <c r="D162" s="785">
        <v>2</v>
      </c>
      <c r="E162" s="776">
        <f t="shared" si="279"/>
        <v>602711.15041687503</v>
      </c>
      <c r="F162" s="776">
        <f t="shared" si="279"/>
        <v>765.74868749999996</v>
      </c>
      <c r="G162" s="776">
        <f t="shared" ref="G162:J163" si="281">G149*0.9</f>
        <v>7104.4425725980764</v>
      </c>
      <c r="H162" s="776">
        <f t="shared" si="281"/>
        <v>40887.450000000004</v>
      </c>
      <c r="I162" s="776">
        <f t="shared" si="281"/>
        <v>7217.8194857142862</v>
      </c>
      <c r="J162" s="776">
        <f t="shared" si="281"/>
        <v>11142.409950000001</v>
      </c>
      <c r="K162" s="776">
        <f t="shared" si="274"/>
        <v>669829.02111268742</v>
      </c>
      <c r="L162" s="776">
        <f t="shared" si="256"/>
        <v>100474.35316690311</v>
      </c>
      <c r="M162" s="776">
        <f t="shared" si="275"/>
        <v>770303.37427959056</v>
      </c>
      <c r="N162" s="776">
        <f t="shared" si="276"/>
        <v>662611.20162697311</v>
      </c>
      <c r="O162" s="776">
        <f t="shared" si="259"/>
        <v>99391.680244045958</v>
      </c>
      <c r="P162" s="776">
        <f t="shared" si="277"/>
        <v>762002.88187101902</v>
      </c>
      <c r="Q162" s="776">
        <f>Q149*0.9</f>
        <v>17615.222307692304</v>
      </c>
    </row>
    <row r="163" spans="1:17" s="770" customFormat="1">
      <c r="A163" s="1089"/>
      <c r="B163" s="1097"/>
      <c r="C163" s="1089"/>
      <c r="D163" s="785">
        <v>3</v>
      </c>
      <c r="E163" s="776">
        <f t="shared" si="279"/>
        <v>602711.15041687503</v>
      </c>
      <c r="F163" s="776">
        <f t="shared" si="279"/>
        <v>765.74868749999996</v>
      </c>
      <c r="G163" s="776">
        <f t="shared" si="281"/>
        <v>7721.6999438963476</v>
      </c>
      <c r="H163" s="776">
        <f t="shared" si="281"/>
        <v>40887.450000000004</v>
      </c>
      <c r="I163" s="776">
        <f t="shared" si="281"/>
        <v>7217.8194857142862</v>
      </c>
      <c r="J163" s="776">
        <f t="shared" si="281"/>
        <v>11142.409950000001</v>
      </c>
      <c r="K163" s="776">
        <f t="shared" si="274"/>
        <v>670446.27848398569</v>
      </c>
      <c r="L163" s="776">
        <f t="shared" si="256"/>
        <v>100566.94177259786</v>
      </c>
      <c r="M163" s="776">
        <f t="shared" si="275"/>
        <v>771013.22025658353</v>
      </c>
      <c r="N163" s="776">
        <f t="shared" si="276"/>
        <v>663228.45899827138</v>
      </c>
      <c r="O163" s="776">
        <f t="shared" si="259"/>
        <v>99484.268849740707</v>
      </c>
      <c r="P163" s="776">
        <f t="shared" si="277"/>
        <v>762712.72784801212</v>
      </c>
      <c r="Q163" s="776">
        <f>Q150*0.9</f>
        <v>17615.222307692304</v>
      </c>
    </row>
    <row r="164" spans="1:17" s="770" customFormat="1">
      <c r="A164" s="1089">
        <v>2</v>
      </c>
      <c r="B164" s="1097" t="s">
        <v>727</v>
      </c>
      <c r="C164" s="1089" t="s">
        <v>51</v>
      </c>
      <c r="D164" s="785">
        <v>1</v>
      </c>
      <c r="E164" s="776">
        <f>E161</f>
        <v>602711.15041687503</v>
      </c>
      <c r="F164" s="776">
        <f t="shared" ref="F164:J164" si="282">F161</f>
        <v>765.74868749999996</v>
      </c>
      <c r="G164" s="776">
        <f t="shared" si="282"/>
        <v>6487.185201299807</v>
      </c>
      <c r="H164" s="776">
        <f t="shared" si="282"/>
        <v>40887.450000000004</v>
      </c>
      <c r="I164" s="776">
        <f t="shared" si="282"/>
        <v>7217.8194857142862</v>
      </c>
      <c r="J164" s="776">
        <f t="shared" si="282"/>
        <v>11142.409950000001</v>
      </c>
      <c r="K164" s="776">
        <f t="shared" ref="K164:K169" si="283">SUM(E164:J164)</f>
        <v>669211.76374138915</v>
      </c>
      <c r="L164" s="776">
        <f t="shared" si="256"/>
        <v>100381.76456120837</v>
      </c>
      <c r="M164" s="776">
        <f t="shared" ref="M164:M169" si="284">K164+L164</f>
        <v>769593.52830259758</v>
      </c>
      <c r="N164" s="776">
        <f t="shared" ref="N164:N169" si="285">K164-I164</f>
        <v>661993.94425567484</v>
      </c>
      <c r="O164" s="776">
        <f t="shared" si="259"/>
        <v>99299.091638351223</v>
      </c>
      <c r="P164" s="776">
        <f t="shared" ref="P164:P169" si="286">N164+O164</f>
        <v>761293.03589402605</v>
      </c>
      <c r="Q164" s="776">
        <f>Q161</f>
        <v>17615.222307692304</v>
      </c>
    </row>
    <row r="165" spans="1:17" s="770" customFormat="1">
      <c r="A165" s="1089"/>
      <c r="B165" s="1097"/>
      <c r="C165" s="1089"/>
      <c r="D165" s="785">
        <v>2</v>
      </c>
      <c r="E165" s="776">
        <f t="shared" ref="E165:J166" si="287">E162</f>
        <v>602711.15041687503</v>
      </c>
      <c r="F165" s="776">
        <f t="shared" si="287"/>
        <v>765.74868749999996</v>
      </c>
      <c r="G165" s="776">
        <f t="shared" si="287"/>
        <v>7104.4425725980764</v>
      </c>
      <c r="H165" s="776">
        <f t="shared" si="287"/>
        <v>40887.450000000004</v>
      </c>
      <c r="I165" s="776">
        <f t="shared" si="287"/>
        <v>7217.8194857142862</v>
      </c>
      <c r="J165" s="776">
        <f t="shared" si="287"/>
        <v>11142.409950000001</v>
      </c>
      <c r="K165" s="776">
        <f t="shared" si="283"/>
        <v>669829.02111268742</v>
      </c>
      <c r="L165" s="776">
        <f t="shared" si="256"/>
        <v>100474.35316690311</v>
      </c>
      <c r="M165" s="776">
        <f t="shared" si="284"/>
        <v>770303.37427959056</v>
      </c>
      <c r="N165" s="776">
        <f t="shared" si="285"/>
        <v>662611.20162697311</v>
      </c>
      <c r="O165" s="776">
        <f t="shared" si="259"/>
        <v>99391.680244045958</v>
      </c>
      <c r="P165" s="776">
        <f t="shared" si="286"/>
        <v>762002.88187101902</v>
      </c>
      <c r="Q165" s="776">
        <f t="shared" ref="Q165:Q166" si="288">Q162</f>
        <v>17615.222307692304</v>
      </c>
    </row>
    <row r="166" spans="1:17" s="770" customFormat="1">
      <c r="A166" s="1089"/>
      <c r="B166" s="1097"/>
      <c r="C166" s="1089"/>
      <c r="D166" s="785">
        <v>3</v>
      </c>
      <c r="E166" s="776">
        <f t="shared" si="287"/>
        <v>602711.15041687503</v>
      </c>
      <c r="F166" s="776">
        <f t="shared" si="287"/>
        <v>765.74868749999996</v>
      </c>
      <c r="G166" s="776">
        <f t="shared" si="287"/>
        <v>7721.6999438963476</v>
      </c>
      <c r="H166" s="776">
        <f t="shared" si="287"/>
        <v>40887.450000000004</v>
      </c>
      <c r="I166" s="776">
        <f t="shared" si="287"/>
        <v>7217.8194857142862</v>
      </c>
      <c r="J166" s="776">
        <f t="shared" si="287"/>
        <v>11142.409950000001</v>
      </c>
      <c r="K166" s="776">
        <f t="shared" si="283"/>
        <v>670446.27848398569</v>
      </c>
      <c r="L166" s="776">
        <f t="shared" si="256"/>
        <v>100566.94177259786</v>
      </c>
      <c r="M166" s="776">
        <f t="shared" si="284"/>
        <v>771013.22025658353</v>
      </c>
      <c r="N166" s="776">
        <f t="shared" si="285"/>
        <v>663228.45899827138</v>
      </c>
      <c r="O166" s="776">
        <f t="shared" si="259"/>
        <v>99484.268849740707</v>
      </c>
      <c r="P166" s="776">
        <f t="shared" si="286"/>
        <v>762712.72784801212</v>
      </c>
      <c r="Q166" s="776">
        <f t="shared" si="288"/>
        <v>17615.222307692304</v>
      </c>
    </row>
    <row r="167" spans="1:17" s="770" customFormat="1">
      <c r="A167" s="1089">
        <v>3</v>
      </c>
      <c r="B167" s="1097" t="s">
        <v>726</v>
      </c>
      <c r="C167" s="1089" t="s">
        <v>51</v>
      </c>
      <c r="D167" s="785">
        <v>1</v>
      </c>
      <c r="E167" s="776">
        <f>E161*1.3</f>
        <v>783524.49554193753</v>
      </c>
      <c r="F167" s="776">
        <f t="shared" ref="F167:J167" si="289">F161*1.3</f>
        <v>995.47329374999993</v>
      </c>
      <c r="G167" s="776">
        <f t="shared" si="289"/>
        <v>8433.3407616897493</v>
      </c>
      <c r="H167" s="776">
        <f t="shared" si="289"/>
        <v>53153.685000000005</v>
      </c>
      <c r="I167" s="776">
        <f t="shared" si="289"/>
        <v>9383.1653314285722</v>
      </c>
      <c r="J167" s="776">
        <f t="shared" si="289"/>
        <v>14485.132935000001</v>
      </c>
      <c r="K167" s="776">
        <f t="shared" si="283"/>
        <v>869975.29286380578</v>
      </c>
      <c r="L167" s="776">
        <f t="shared" si="256"/>
        <v>130496.29392957086</v>
      </c>
      <c r="M167" s="776">
        <f t="shared" si="284"/>
        <v>1000471.5867933766</v>
      </c>
      <c r="N167" s="776">
        <f t="shared" si="285"/>
        <v>860592.12753237726</v>
      </c>
      <c r="O167" s="776">
        <f t="shared" si="259"/>
        <v>129088.81912985658</v>
      </c>
      <c r="P167" s="776">
        <f t="shared" si="286"/>
        <v>989680.94666223379</v>
      </c>
      <c r="Q167" s="776">
        <f>Q161*1.3</f>
        <v>22899.788999999997</v>
      </c>
    </row>
    <row r="168" spans="1:17" s="770" customFormat="1">
      <c r="A168" s="1089"/>
      <c r="B168" s="1097"/>
      <c r="C168" s="1089"/>
      <c r="D168" s="785">
        <v>2</v>
      </c>
      <c r="E168" s="776">
        <f t="shared" ref="E168:J169" si="290">E162*1.3</f>
        <v>783524.49554193753</v>
      </c>
      <c r="F168" s="776">
        <f t="shared" si="290"/>
        <v>995.47329374999993</v>
      </c>
      <c r="G168" s="776">
        <f t="shared" si="290"/>
        <v>9235.7753443775</v>
      </c>
      <c r="H168" s="776">
        <f t="shared" si="290"/>
        <v>53153.685000000005</v>
      </c>
      <c r="I168" s="776">
        <f t="shared" si="290"/>
        <v>9383.1653314285722</v>
      </c>
      <c r="J168" s="776">
        <f t="shared" si="290"/>
        <v>14485.132935000001</v>
      </c>
      <c r="K168" s="776">
        <f t="shared" si="283"/>
        <v>870777.72744649358</v>
      </c>
      <c r="L168" s="776">
        <f t="shared" si="256"/>
        <v>130616.65911697403</v>
      </c>
      <c r="M168" s="776">
        <f t="shared" si="284"/>
        <v>1001394.3865634676</v>
      </c>
      <c r="N168" s="776">
        <f t="shared" si="285"/>
        <v>861394.56211506505</v>
      </c>
      <c r="O168" s="776">
        <f t="shared" si="259"/>
        <v>129209.18431725976</v>
      </c>
      <c r="P168" s="776">
        <f t="shared" si="286"/>
        <v>990603.74643232487</v>
      </c>
      <c r="Q168" s="776">
        <f t="shared" ref="Q168:Q169" si="291">Q162*1.3</f>
        <v>22899.788999999997</v>
      </c>
    </row>
    <row r="169" spans="1:17" s="770" customFormat="1">
      <c r="A169" s="1089"/>
      <c r="B169" s="1097"/>
      <c r="C169" s="1089"/>
      <c r="D169" s="785">
        <v>3</v>
      </c>
      <c r="E169" s="776">
        <f t="shared" si="290"/>
        <v>783524.49554193753</v>
      </c>
      <c r="F169" s="776">
        <f t="shared" si="290"/>
        <v>995.47329374999993</v>
      </c>
      <c r="G169" s="776">
        <f t="shared" si="290"/>
        <v>10038.209927065252</v>
      </c>
      <c r="H169" s="776">
        <f t="shared" si="290"/>
        <v>53153.685000000005</v>
      </c>
      <c r="I169" s="776">
        <f t="shared" si="290"/>
        <v>9383.1653314285722</v>
      </c>
      <c r="J169" s="776">
        <f t="shared" si="290"/>
        <v>14485.132935000001</v>
      </c>
      <c r="K169" s="776">
        <f t="shared" si="283"/>
        <v>871580.16202918137</v>
      </c>
      <c r="L169" s="776">
        <f t="shared" si="256"/>
        <v>130737.02430437721</v>
      </c>
      <c r="M169" s="776">
        <f t="shared" si="284"/>
        <v>1002317.1863335585</v>
      </c>
      <c r="N169" s="776">
        <f t="shared" si="285"/>
        <v>862196.99669775285</v>
      </c>
      <c r="O169" s="776">
        <f t="shared" si="259"/>
        <v>129329.54950466292</v>
      </c>
      <c r="P169" s="776">
        <f t="shared" si="286"/>
        <v>991526.54620241583</v>
      </c>
      <c r="Q169" s="776">
        <f t="shared" si="291"/>
        <v>22899.788999999997</v>
      </c>
    </row>
    <row r="170" spans="1:17" s="770" customFormat="1">
      <c r="A170" s="771" t="s">
        <v>21</v>
      </c>
      <c r="B170" s="834" t="s">
        <v>822</v>
      </c>
      <c r="C170" s="785"/>
      <c r="D170" s="785"/>
      <c r="E170" s="776"/>
      <c r="F170" s="776"/>
      <c r="G170" s="776"/>
      <c r="H170" s="776"/>
      <c r="I170" s="776"/>
      <c r="J170" s="776"/>
      <c r="K170" s="776"/>
      <c r="L170" s="776"/>
      <c r="M170" s="776"/>
      <c r="N170" s="776"/>
      <c r="O170" s="776"/>
      <c r="P170" s="776"/>
      <c r="Q170" s="776"/>
    </row>
    <row r="171" spans="1:17" s="825" customFormat="1">
      <c r="A171" s="1103" t="s">
        <v>127</v>
      </c>
      <c r="B171" s="1104" t="s">
        <v>719</v>
      </c>
      <c r="C171" s="1103" t="s">
        <v>51</v>
      </c>
      <c r="D171" s="833">
        <v>1</v>
      </c>
      <c r="E171" s="824">
        <f>NCong!I267</f>
        <v>568190.6375999999</v>
      </c>
      <c r="F171" s="824">
        <f>NCong!I268</f>
        <v>850.83187499999997</v>
      </c>
      <c r="G171" s="824">
        <f>Dcu!J123+Dcu!L123</f>
        <v>7189.5212228632481</v>
      </c>
      <c r="H171" s="824">
        <f>H148</f>
        <v>45430.5</v>
      </c>
      <c r="I171" s="824">
        <f t="shared" ref="I171:J171" si="292">I148</f>
        <v>8019.7994285714285</v>
      </c>
      <c r="J171" s="824">
        <f t="shared" si="292"/>
        <v>12380.4555</v>
      </c>
      <c r="K171" s="824">
        <f t="shared" ref="K171:K173" si="293">SUM(E171:J171)</f>
        <v>642061.74562643468</v>
      </c>
      <c r="L171" s="824">
        <f t="shared" ref="L171:L173" si="294">K171*15%</f>
        <v>96309.2618439652</v>
      </c>
      <c r="M171" s="824">
        <f t="shared" ref="M171:M173" si="295">K171+L171</f>
        <v>738371.00747039984</v>
      </c>
      <c r="N171" s="824">
        <f t="shared" ref="N171:N173" si="296">K171-I171</f>
        <v>634041.9461978632</v>
      </c>
      <c r="O171" s="824">
        <f t="shared" ref="O171:O173" si="297">$L$6*N171</f>
        <v>95106.291929679472</v>
      </c>
      <c r="P171" s="824">
        <f t="shared" ref="P171:P173" si="298">N171+O171</f>
        <v>729148.23812754266</v>
      </c>
      <c r="Q171" s="824">
        <f>NCong!J267+NCong!J320</f>
        <v>17626.31538461538</v>
      </c>
    </row>
    <row r="172" spans="1:17" s="825" customFormat="1">
      <c r="A172" s="1103"/>
      <c r="B172" s="1104"/>
      <c r="C172" s="1103"/>
      <c r="D172" s="833">
        <v>2</v>
      </c>
      <c r="E172" s="824">
        <f>NCong!I269</f>
        <v>568190.6375999999</v>
      </c>
      <c r="F172" s="824">
        <f>NCong!I270</f>
        <v>850.83187499999997</v>
      </c>
      <c r="G172" s="824">
        <f>Dcu!J124+Dcu!L124</f>
        <v>7873.3113760683764</v>
      </c>
      <c r="H172" s="824">
        <f t="shared" ref="H172:J172" si="299">H149</f>
        <v>45430.5</v>
      </c>
      <c r="I172" s="824">
        <f t="shared" si="299"/>
        <v>8019.7994285714285</v>
      </c>
      <c r="J172" s="824">
        <f t="shared" si="299"/>
        <v>12380.4555</v>
      </c>
      <c r="K172" s="824">
        <f t="shared" si="293"/>
        <v>642745.53577963985</v>
      </c>
      <c r="L172" s="824">
        <f t="shared" si="294"/>
        <v>96411.830366945971</v>
      </c>
      <c r="M172" s="824">
        <f t="shared" si="295"/>
        <v>739157.36614658579</v>
      </c>
      <c r="N172" s="824">
        <f t="shared" si="296"/>
        <v>634725.73635106836</v>
      </c>
      <c r="O172" s="824">
        <f t="shared" si="297"/>
        <v>95208.860452660258</v>
      </c>
      <c r="P172" s="824">
        <f t="shared" si="298"/>
        <v>729934.59680372861</v>
      </c>
      <c r="Q172" s="824">
        <f>NCong!J269+NCong!J320</f>
        <v>17626.31538461538</v>
      </c>
    </row>
    <row r="173" spans="1:17" s="825" customFormat="1">
      <c r="A173" s="1103"/>
      <c r="B173" s="1104"/>
      <c r="C173" s="1103"/>
      <c r="D173" s="833">
        <v>3</v>
      </c>
      <c r="E173" s="824">
        <f>NCong!I271</f>
        <v>568190.6375999999</v>
      </c>
      <c r="F173" s="824">
        <f>NCong!I272</f>
        <v>850.83187499999997</v>
      </c>
      <c r="G173" s="824">
        <f>Dcu!J125+Dcu!L125</f>
        <v>8557.1015292735065</v>
      </c>
      <c r="H173" s="824">
        <f t="shared" ref="H173:J173" si="300">H150</f>
        <v>45430.5</v>
      </c>
      <c r="I173" s="824">
        <f t="shared" si="300"/>
        <v>8019.7994285714285</v>
      </c>
      <c r="J173" s="824">
        <f t="shared" si="300"/>
        <v>12380.4555</v>
      </c>
      <c r="K173" s="824">
        <f t="shared" si="293"/>
        <v>643429.32593284501</v>
      </c>
      <c r="L173" s="824">
        <f t="shared" si="294"/>
        <v>96514.398889926742</v>
      </c>
      <c r="M173" s="824">
        <f t="shared" si="295"/>
        <v>739943.72482277174</v>
      </c>
      <c r="N173" s="824">
        <f t="shared" si="296"/>
        <v>635409.52650427353</v>
      </c>
      <c r="O173" s="824">
        <f t="shared" si="297"/>
        <v>95311.428975641029</v>
      </c>
      <c r="P173" s="824">
        <f t="shared" si="298"/>
        <v>730720.95547991456</v>
      </c>
      <c r="Q173" s="824">
        <f>NCong!J271+NCong!J320</f>
        <v>17626.31538461538</v>
      </c>
    </row>
    <row r="174" spans="1:17" s="825" customFormat="1">
      <c r="A174" s="1103" t="s">
        <v>127</v>
      </c>
      <c r="B174" s="1104" t="s">
        <v>721</v>
      </c>
      <c r="C174" s="1103" t="s">
        <v>51</v>
      </c>
      <c r="D174" s="833">
        <v>1</v>
      </c>
      <c r="E174" s="824">
        <f>E171</f>
        <v>568190.6375999999</v>
      </c>
      <c r="F174" s="824">
        <f t="shared" ref="F174:J174" si="301">F171</f>
        <v>850.83187499999997</v>
      </c>
      <c r="G174" s="824">
        <f t="shared" si="301"/>
        <v>7189.5212228632481</v>
      </c>
      <c r="H174" s="824">
        <f t="shared" si="301"/>
        <v>45430.5</v>
      </c>
      <c r="I174" s="824">
        <f t="shared" si="301"/>
        <v>8019.7994285714285</v>
      </c>
      <c r="J174" s="824">
        <f t="shared" si="301"/>
        <v>12380.4555</v>
      </c>
      <c r="K174" s="824">
        <f t="shared" ref="K174:K182" si="302">SUM(E174:J174)</f>
        <v>642061.74562643468</v>
      </c>
      <c r="L174" s="824">
        <f t="shared" ref="L174:L182" si="303">K174*15%</f>
        <v>96309.2618439652</v>
      </c>
      <c r="M174" s="824">
        <f t="shared" ref="M174:M182" si="304">K174+L174</f>
        <v>738371.00747039984</v>
      </c>
      <c r="N174" s="824">
        <f t="shared" ref="N174:N182" si="305">K174-I174</f>
        <v>634041.9461978632</v>
      </c>
      <c r="O174" s="824">
        <f t="shared" ref="O174:O182" si="306">$L$6*N174</f>
        <v>95106.291929679472</v>
      </c>
      <c r="P174" s="824">
        <f t="shared" ref="P174:P182" si="307">N174+O174</f>
        <v>729148.23812754266</v>
      </c>
      <c r="Q174" s="824">
        <f>Q171</f>
        <v>17626.31538461538</v>
      </c>
    </row>
    <row r="175" spans="1:17" s="825" customFormat="1">
      <c r="A175" s="1103"/>
      <c r="B175" s="1104"/>
      <c r="C175" s="1103"/>
      <c r="D175" s="833">
        <v>2</v>
      </c>
      <c r="E175" s="824">
        <f t="shared" ref="E175:J175" si="308">E172</f>
        <v>568190.6375999999</v>
      </c>
      <c r="F175" s="824">
        <f t="shared" si="308"/>
        <v>850.83187499999997</v>
      </c>
      <c r="G175" s="824">
        <f t="shared" si="308"/>
        <v>7873.3113760683764</v>
      </c>
      <c r="H175" s="824">
        <f t="shared" si="308"/>
        <v>45430.5</v>
      </c>
      <c r="I175" s="824">
        <f t="shared" si="308"/>
        <v>8019.7994285714285</v>
      </c>
      <c r="J175" s="824">
        <f t="shared" si="308"/>
        <v>12380.4555</v>
      </c>
      <c r="K175" s="824">
        <f t="shared" si="302"/>
        <v>642745.53577963985</v>
      </c>
      <c r="L175" s="824">
        <f t="shared" si="303"/>
        <v>96411.830366945971</v>
      </c>
      <c r="M175" s="824">
        <f t="shared" si="304"/>
        <v>739157.36614658579</v>
      </c>
      <c r="N175" s="824">
        <f t="shared" si="305"/>
        <v>634725.73635106836</v>
      </c>
      <c r="O175" s="824">
        <f t="shared" si="306"/>
        <v>95208.860452660258</v>
      </c>
      <c r="P175" s="824">
        <f t="shared" si="307"/>
        <v>729934.59680372861</v>
      </c>
      <c r="Q175" s="824">
        <f t="shared" ref="Q175:Q176" si="309">Q172</f>
        <v>17626.31538461538</v>
      </c>
    </row>
    <row r="176" spans="1:17" s="825" customFormat="1">
      <c r="A176" s="1103"/>
      <c r="B176" s="1104"/>
      <c r="C176" s="1103"/>
      <c r="D176" s="833">
        <v>3</v>
      </c>
      <c r="E176" s="824">
        <f t="shared" ref="E176:J176" si="310">E173</f>
        <v>568190.6375999999</v>
      </c>
      <c r="F176" s="824">
        <f t="shared" si="310"/>
        <v>850.83187499999997</v>
      </c>
      <c r="G176" s="824">
        <f t="shared" si="310"/>
        <v>8557.1015292735065</v>
      </c>
      <c r="H176" s="824">
        <f t="shared" si="310"/>
        <v>45430.5</v>
      </c>
      <c r="I176" s="824">
        <f t="shared" si="310"/>
        <v>8019.7994285714285</v>
      </c>
      <c r="J176" s="824">
        <f t="shared" si="310"/>
        <v>12380.4555</v>
      </c>
      <c r="K176" s="824">
        <f t="shared" si="302"/>
        <v>643429.32593284501</v>
      </c>
      <c r="L176" s="824">
        <f t="shared" si="303"/>
        <v>96514.398889926742</v>
      </c>
      <c r="M176" s="824">
        <f t="shared" si="304"/>
        <v>739943.72482277174</v>
      </c>
      <c r="N176" s="824">
        <f t="shared" si="305"/>
        <v>635409.52650427353</v>
      </c>
      <c r="O176" s="824">
        <f t="shared" si="306"/>
        <v>95311.428975641029</v>
      </c>
      <c r="P176" s="824">
        <f t="shared" si="307"/>
        <v>730720.95547991456</v>
      </c>
      <c r="Q176" s="824">
        <f t="shared" si="309"/>
        <v>17626.31538461538</v>
      </c>
    </row>
    <row r="177" spans="1:17" s="825" customFormat="1">
      <c r="A177" s="1103" t="s">
        <v>129</v>
      </c>
      <c r="B177" s="1104" t="s">
        <v>720</v>
      </c>
      <c r="C177" s="1103" t="s">
        <v>51</v>
      </c>
      <c r="D177" s="833">
        <v>1</v>
      </c>
      <c r="E177" s="824">
        <f>E171*1.3</f>
        <v>738647.82887999993</v>
      </c>
      <c r="F177" s="824">
        <f t="shared" ref="F177:G177" si="311">F171*1.3</f>
        <v>1106.0814375</v>
      </c>
      <c r="G177" s="824">
        <f t="shared" si="311"/>
        <v>9346.3775897222222</v>
      </c>
      <c r="H177" s="824">
        <f>H171</f>
        <v>45430.5</v>
      </c>
      <c r="I177" s="824">
        <f>I171*1.3</f>
        <v>10425.739257142857</v>
      </c>
      <c r="J177" s="824">
        <f>J171*1.3</f>
        <v>16094.59215</v>
      </c>
      <c r="K177" s="824">
        <f t="shared" si="302"/>
        <v>821051.11931436497</v>
      </c>
      <c r="L177" s="824">
        <f t="shared" si="303"/>
        <v>123157.66789715474</v>
      </c>
      <c r="M177" s="824">
        <f t="shared" si="304"/>
        <v>944208.78721151967</v>
      </c>
      <c r="N177" s="824">
        <f t="shared" si="305"/>
        <v>810625.38005722209</v>
      </c>
      <c r="O177" s="824">
        <f t="shared" si="306"/>
        <v>121593.8070085833</v>
      </c>
      <c r="P177" s="824">
        <f t="shared" si="307"/>
        <v>932219.18706580542</v>
      </c>
      <c r="Q177" s="824">
        <f>Q171*1.3</f>
        <v>22914.209999999995</v>
      </c>
    </row>
    <row r="178" spans="1:17" s="825" customFormat="1">
      <c r="A178" s="1103"/>
      <c r="B178" s="1104"/>
      <c r="C178" s="1103"/>
      <c r="D178" s="833">
        <v>2</v>
      </c>
      <c r="E178" s="824">
        <f t="shared" ref="E178:G179" si="312">E172*1.3</f>
        <v>738647.82887999993</v>
      </c>
      <c r="F178" s="824">
        <f t="shared" si="312"/>
        <v>1106.0814375</v>
      </c>
      <c r="G178" s="824">
        <f t="shared" si="312"/>
        <v>10235.30478888889</v>
      </c>
      <c r="H178" s="824">
        <f t="shared" ref="H178:H179" si="313">H172</f>
        <v>45430.5</v>
      </c>
      <c r="I178" s="824">
        <f t="shared" ref="I178:J179" si="314">I172*1.3</f>
        <v>10425.739257142857</v>
      </c>
      <c r="J178" s="824">
        <f t="shared" si="314"/>
        <v>16094.59215</v>
      </c>
      <c r="K178" s="824">
        <f t="shared" si="302"/>
        <v>821940.04651353171</v>
      </c>
      <c r="L178" s="824">
        <f t="shared" si="303"/>
        <v>123291.00697702976</v>
      </c>
      <c r="M178" s="824">
        <f t="shared" si="304"/>
        <v>945231.05349056143</v>
      </c>
      <c r="N178" s="824">
        <f t="shared" si="305"/>
        <v>811514.30725638883</v>
      </c>
      <c r="O178" s="824">
        <f t="shared" si="306"/>
        <v>121727.14608845832</v>
      </c>
      <c r="P178" s="824">
        <f t="shared" si="307"/>
        <v>933241.45334484719</v>
      </c>
      <c r="Q178" s="824">
        <f t="shared" ref="Q178:Q179" si="315">Q172*1.3</f>
        <v>22914.209999999995</v>
      </c>
    </row>
    <row r="179" spans="1:17" s="825" customFormat="1">
      <c r="A179" s="1103"/>
      <c r="B179" s="1104"/>
      <c r="C179" s="1103"/>
      <c r="D179" s="833">
        <v>3</v>
      </c>
      <c r="E179" s="824">
        <f t="shared" si="312"/>
        <v>738647.82887999993</v>
      </c>
      <c r="F179" s="824">
        <f t="shared" si="312"/>
        <v>1106.0814375</v>
      </c>
      <c r="G179" s="824">
        <f t="shared" si="312"/>
        <v>11124.231988055559</v>
      </c>
      <c r="H179" s="824">
        <f t="shared" si="313"/>
        <v>45430.5</v>
      </c>
      <c r="I179" s="824">
        <f t="shared" si="314"/>
        <v>10425.739257142857</v>
      </c>
      <c r="J179" s="824">
        <f t="shared" si="314"/>
        <v>16094.59215</v>
      </c>
      <c r="K179" s="824">
        <f t="shared" si="302"/>
        <v>822828.97371269832</v>
      </c>
      <c r="L179" s="824">
        <f t="shared" si="303"/>
        <v>123424.34605690475</v>
      </c>
      <c r="M179" s="824">
        <f t="shared" si="304"/>
        <v>946253.31976960308</v>
      </c>
      <c r="N179" s="824">
        <f t="shared" si="305"/>
        <v>812403.23445555544</v>
      </c>
      <c r="O179" s="824">
        <f t="shared" si="306"/>
        <v>121860.48516833331</v>
      </c>
      <c r="P179" s="824">
        <f t="shared" si="307"/>
        <v>934263.71962388873</v>
      </c>
      <c r="Q179" s="824">
        <f t="shared" si="315"/>
        <v>22914.209999999995</v>
      </c>
    </row>
    <row r="180" spans="1:17" s="770" customFormat="1">
      <c r="A180" s="1091" t="s">
        <v>130</v>
      </c>
      <c r="B180" s="1106" t="s">
        <v>722</v>
      </c>
      <c r="C180" s="1091" t="s">
        <v>51</v>
      </c>
      <c r="D180" s="823">
        <v>1</v>
      </c>
      <c r="E180" s="824">
        <f>0.3*(NCong!I282+NCong!I283+NCong!I286+NCong!I287+NCong!I290+NCong!I291+NCong!I292+NCong!I293+NCong!I295+NCong!I298+NCong!I302+NCong!I303+NCong!I312+NCong!I315+NCong!I316+NCong!I317+NCong!I319+NCong!I320)</f>
        <v>160870.84268062504</v>
      </c>
      <c r="F180" s="824">
        <f>F157</f>
        <v>0</v>
      </c>
      <c r="G180" s="824">
        <f t="shared" ref="G180:J180" si="316">G157</f>
        <v>2258.4524284188037</v>
      </c>
      <c r="H180" s="824">
        <f t="shared" si="316"/>
        <v>13629.15</v>
      </c>
      <c r="I180" s="824">
        <f t="shared" si="316"/>
        <v>1808.1043285714286</v>
      </c>
      <c r="J180" s="824">
        <f t="shared" si="316"/>
        <v>2887.9678800000002</v>
      </c>
      <c r="K180" s="824">
        <f t="shared" si="302"/>
        <v>181454.51731761527</v>
      </c>
      <c r="L180" s="824">
        <f t="shared" si="303"/>
        <v>27218.17759764229</v>
      </c>
      <c r="M180" s="824">
        <f t="shared" si="304"/>
        <v>208672.69491525757</v>
      </c>
      <c r="N180" s="824">
        <f t="shared" si="305"/>
        <v>179646.41298904383</v>
      </c>
      <c r="O180" s="824">
        <f t="shared" si="306"/>
        <v>26946.961948356573</v>
      </c>
      <c r="P180" s="824">
        <f t="shared" si="307"/>
        <v>206593.3749374004</v>
      </c>
      <c r="Q180" s="824">
        <f>0.3*(NCong!J282+NCong!J283+NCong!J286+NCong!J287+NCong!J290+NCong!J291+NCong!J292+NCong!J293+NCong!J295+NCong!J298+NCong!J302+NCong!J303+NCong!J312+NCong!J315+NCong!J316+NCong!J317+NCong!J319+NCong!J320)</f>
        <v>4732.1460576923064</v>
      </c>
    </row>
    <row r="181" spans="1:17" s="770" customFormat="1">
      <c r="A181" s="1091"/>
      <c r="B181" s="1106"/>
      <c r="C181" s="1091"/>
      <c r="D181" s="823">
        <v>2</v>
      </c>
      <c r="E181" s="824">
        <f>0.3*(NCong!I282+NCong!I283+NCong!I286+NCong!I287+NCong!I290+NCong!I291+NCong!I292+NCong!I293+NCong!I295+NCong!I298+NCong!I302+NCong!I303+NCong!I312+NCong!I315+NCong!I316+NCong!I317+NCong!I319+NCong!I320)</f>
        <v>160870.84268062504</v>
      </c>
      <c r="F181" s="824">
        <f t="shared" ref="F181:J182" si="317">F158</f>
        <v>0</v>
      </c>
      <c r="G181" s="824">
        <f t="shared" si="317"/>
        <v>2258.4524284188037</v>
      </c>
      <c r="H181" s="824">
        <f t="shared" si="317"/>
        <v>13629.15</v>
      </c>
      <c r="I181" s="824">
        <f t="shared" si="317"/>
        <v>1808.1043285714286</v>
      </c>
      <c r="J181" s="824">
        <f t="shared" si="317"/>
        <v>2887.9678800000002</v>
      </c>
      <c r="K181" s="824">
        <f t="shared" si="302"/>
        <v>181454.51731761527</v>
      </c>
      <c r="L181" s="824">
        <f t="shared" si="303"/>
        <v>27218.17759764229</v>
      </c>
      <c r="M181" s="824">
        <f t="shared" si="304"/>
        <v>208672.69491525757</v>
      </c>
      <c r="N181" s="824">
        <f t="shared" si="305"/>
        <v>179646.41298904383</v>
      </c>
      <c r="O181" s="824">
        <f t="shared" si="306"/>
        <v>26946.961948356573</v>
      </c>
      <c r="P181" s="824">
        <f t="shared" si="307"/>
        <v>206593.3749374004</v>
      </c>
      <c r="Q181" s="824">
        <f>0.3*(NCong!J282+NCong!J283+NCong!J286+NCong!J287+NCong!J290+NCong!J291+NCong!J292+NCong!J293+NCong!J295+NCong!J298+NCong!J302+NCong!J303+NCong!J312+NCong!J315+NCong!J316+NCong!J317+NCong!J319+NCong!J320)</f>
        <v>4732.1460576923064</v>
      </c>
    </row>
    <row r="182" spans="1:17" s="770" customFormat="1">
      <c r="A182" s="1091"/>
      <c r="B182" s="1106"/>
      <c r="C182" s="1091"/>
      <c r="D182" s="823">
        <v>3</v>
      </c>
      <c r="E182" s="824">
        <f>0.3*(NCong!I282+NCong!I283+NCong!I286+NCong!I287+NCong!I290+NCong!I291+NCong!I292+NCong!I293+NCong!I295+NCong!I298+NCong!I302+NCong!I303+NCong!I312+NCong!I315+NCong!I316+NCong!I317+NCong!I319+NCong!I320)</f>
        <v>160870.84268062504</v>
      </c>
      <c r="F182" s="824">
        <f t="shared" si="317"/>
        <v>0</v>
      </c>
      <c r="G182" s="824">
        <f t="shared" si="317"/>
        <v>2258.4524284188037</v>
      </c>
      <c r="H182" s="824">
        <f t="shared" si="317"/>
        <v>13629.15</v>
      </c>
      <c r="I182" s="824">
        <f t="shared" si="317"/>
        <v>1808.1043285714286</v>
      </c>
      <c r="J182" s="824">
        <f t="shared" si="317"/>
        <v>2887.9678800000002</v>
      </c>
      <c r="K182" s="824">
        <f t="shared" si="302"/>
        <v>181454.51731761527</v>
      </c>
      <c r="L182" s="824">
        <f t="shared" si="303"/>
        <v>27218.17759764229</v>
      </c>
      <c r="M182" s="824">
        <f t="shared" si="304"/>
        <v>208672.69491525757</v>
      </c>
      <c r="N182" s="824">
        <f t="shared" si="305"/>
        <v>179646.41298904383</v>
      </c>
      <c r="O182" s="824">
        <f t="shared" si="306"/>
        <v>26946.961948356573</v>
      </c>
      <c r="P182" s="824">
        <f t="shared" si="307"/>
        <v>206593.3749374004</v>
      </c>
      <c r="Q182" s="824">
        <f>0.3*(NCong!J282+NCong!J283+NCong!J286+NCong!J287+NCong!J290+NCong!J291+NCong!J292+NCong!J293+NCong!J295+NCong!J298+NCong!J302+NCong!J303+NCong!J312+NCong!J315+NCong!J316+NCong!J317+NCong!J319+NCong!J320)</f>
        <v>4732.1460576923064</v>
      </c>
    </row>
    <row r="183" spans="1:17" s="770" customFormat="1">
      <c r="A183" s="771" t="s">
        <v>723</v>
      </c>
      <c r="B183" s="774" t="s">
        <v>724</v>
      </c>
      <c r="C183" s="771"/>
      <c r="D183" s="771"/>
      <c r="E183" s="824"/>
      <c r="F183" s="824"/>
      <c r="G183" s="824"/>
      <c r="H183" s="824"/>
      <c r="I183" s="824"/>
      <c r="J183" s="824"/>
      <c r="K183" s="824"/>
      <c r="L183" s="824"/>
      <c r="M183" s="824"/>
      <c r="N183" s="824"/>
      <c r="O183" s="824"/>
      <c r="P183" s="824"/>
      <c r="Q183" s="824"/>
    </row>
    <row r="184" spans="1:17" s="825" customFormat="1">
      <c r="A184" s="1103">
        <v>1</v>
      </c>
      <c r="B184" s="1104" t="s">
        <v>725</v>
      </c>
      <c r="C184" s="1103" t="s">
        <v>51</v>
      </c>
      <c r="D184" s="833">
        <v>1</v>
      </c>
      <c r="E184" s="824">
        <f>E171*0.9</f>
        <v>511371.57383999991</v>
      </c>
      <c r="F184" s="824">
        <f t="shared" ref="F184:J184" si="318">F171*0.9</f>
        <v>765.74868749999996</v>
      </c>
      <c r="G184" s="824">
        <f t="shared" si="318"/>
        <v>6470.5691005769231</v>
      </c>
      <c r="H184" s="824">
        <f t="shared" si="318"/>
        <v>40887.450000000004</v>
      </c>
      <c r="I184" s="824">
        <f t="shared" si="318"/>
        <v>7217.8194857142862</v>
      </c>
      <c r="J184" s="824">
        <f t="shared" si="318"/>
        <v>11142.409950000001</v>
      </c>
      <c r="K184" s="824">
        <f t="shared" ref="K184:K186" si="319">SUM(E184:J184)</f>
        <v>577855.57106379117</v>
      </c>
      <c r="L184" s="824">
        <f t="shared" ref="L184:L186" si="320">K184*15%</f>
        <v>86678.335659568678</v>
      </c>
      <c r="M184" s="824">
        <f t="shared" ref="M184:M186" si="321">K184+L184</f>
        <v>664533.90672335983</v>
      </c>
      <c r="N184" s="824">
        <f t="shared" ref="N184:N186" si="322">K184-I184</f>
        <v>570637.75157807686</v>
      </c>
      <c r="O184" s="824">
        <f t="shared" ref="O184:O186" si="323">$L$6*N184</f>
        <v>85595.662736711529</v>
      </c>
      <c r="P184" s="824">
        <f t="shared" ref="P184:P186" si="324">N184+O184</f>
        <v>656233.41431478842</v>
      </c>
      <c r="Q184" s="824">
        <f>Q171*0.9</f>
        <v>15863.683846153843</v>
      </c>
    </row>
    <row r="185" spans="1:17" s="825" customFormat="1">
      <c r="A185" s="1103"/>
      <c r="B185" s="1104"/>
      <c r="C185" s="1103"/>
      <c r="D185" s="833">
        <v>2</v>
      </c>
      <c r="E185" s="824">
        <f t="shared" ref="E185:J186" si="325">E172*0.9</f>
        <v>511371.57383999991</v>
      </c>
      <c r="F185" s="824">
        <f t="shared" si="325"/>
        <v>765.74868749999996</v>
      </c>
      <c r="G185" s="824">
        <f t="shared" si="325"/>
        <v>7085.9802384615386</v>
      </c>
      <c r="H185" s="824">
        <f t="shared" si="325"/>
        <v>40887.450000000004</v>
      </c>
      <c r="I185" s="824">
        <f t="shared" si="325"/>
        <v>7217.8194857142862</v>
      </c>
      <c r="J185" s="824">
        <f t="shared" si="325"/>
        <v>11142.409950000001</v>
      </c>
      <c r="K185" s="824">
        <f t="shared" si="319"/>
        <v>578470.98220167577</v>
      </c>
      <c r="L185" s="824">
        <f t="shared" si="320"/>
        <v>86770.647330251362</v>
      </c>
      <c r="M185" s="824">
        <f t="shared" si="321"/>
        <v>665241.62953192717</v>
      </c>
      <c r="N185" s="824">
        <f t="shared" si="322"/>
        <v>571253.16271596146</v>
      </c>
      <c r="O185" s="824">
        <f t="shared" si="323"/>
        <v>85687.974407394213</v>
      </c>
      <c r="P185" s="824">
        <f t="shared" si="324"/>
        <v>656941.13712335564</v>
      </c>
      <c r="Q185" s="824">
        <f t="shared" ref="Q185:Q186" si="326">Q172*0.9</f>
        <v>15863.683846153843</v>
      </c>
    </row>
    <row r="186" spans="1:17" s="825" customFormat="1">
      <c r="A186" s="1103"/>
      <c r="B186" s="1104"/>
      <c r="C186" s="1103"/>
      <c r="D186" s="833">
        <v>3</v>
      </c>
      <c r="E186" s="824">
        <f t="shared" si="325"/>
        <v>511371.57383999991</v>
      </c>
      <c r="F186" s="824">
        <f t="shared" si="325"/>
        <v>765.74868749999996</v>
      </c>
      <c r="G186" s="824">
        <f t="shared" si="325"/>
        <v>7701.391376346156</v>
      </c>
      <c r="H186" s="824">
        <f t="shared" si="325"/>
        <v>40887.450000000004</v>
      </c>
      <c r="I186" s="824">
        <f t="shared" si="325"/>
        <v>7217.8194857142862</v>
      </c>
      <c r="J186" s="824">
        <f t="shared" si="325"/>
        <v>11142.409950000001</v>
      </c>
      <c r="K186" s="824">
        <f t="shared" si="319"/>
        <v>579086.39333956037</v>
      </c>
      <c r="L186" s="824">
        <f t="shared" si="320"/>
        <v>86862.959000934046</v>
      </c>
      <c r="M186" s="824">
        <f t="shared" si="321"/>
        <v>665949.3523404944</v>
      </c>
      <c r="N186" s="824">
        <f t="shared" si="322"/>
        <v>571868.57385384606</v>
      </c>
      <c r="O186" s="824">
        <f t="shared" si="323"/>
        <v>85780.286078076912</v>
      </c>
      <c r="P186" s="824">
        <f t="shared" si="324"/>
        <v>657648.85993192298</v>
      </c>
      <c r="Q186" s="824">
        <f t="shared" si="326"/>
        <v>15863.683846153843</v>
      </c>
    </row>
    <row r="187" spans="1:17" s="825" customFormat="1">
      <c r="A187" s="1103">
        <v>2</v>
      </c>
      <c r="B187" s="1104" t="s">
        <v>727</v>
      </c>
      <c r="C187" s="1103" t="s">
        <v>51</v>
      </c>
      <c r="D187" s="833">
        <v>1</v>
      </c>
      <c r="E187" s="824">
        <f>E184</f>
        <v>511371.57383999991</v>
      </c>
      <c r="F187" s="824">
        <f t="shared" ref="F187:J187" si="327">F184</f>
        <v>765.74868749999996</v>
      </c>
      <c r="G187" s="824">
        <f t="shared" si="327"/>
        <v>6470.5691005769231</v>
      </c>
      <c r="H187" s="824">
        <f t="shared" si="327"/>
        <v>40887.450000000004</v>
      </c>
      <c r="I187" s="824">
        <f t="shared" si="327"/>
        <v>7217.8194857142862</v>
      </c>
      <c r="J187" s="824">
        <f t="shared" si="327"/>
        <v>11142.409950000001</v>
      </c>
      <c r="K187" s="824">
        <f t="shared" ref="K187:K192" si="328">SUM(E187:J187)</f>
        <v>577855.57106379117</v>
      </c>
      <c r="L187" s="824">
        <f t="shared" ref="L187:L192" si="329">K187*15%</f>
        <v>86678.335659568678</v>
      </c>
      <c r="M187" s="824">
        <f t="shared" ref="M187:M192" si="330">K187+L187</f>
        <v>664533.90672335983</v>
      </c>
      <c r="N187" s="824">
        <f t="shared" ref="N187:N192" si="331">K187-I187</f>
        <v>570637.75157807686</v>
      </c>
      <c r="O187" s="824">
        <f t="shared" ref="O187:O192" si="332">$L$6*N187</f>
        <v>85595.662736711529</v>
      </c>
      <c r="P187" s="824">
        <f t="shared" ref="P187:P192" si="333">N187+O187</f>
        <v>656233.41431478842</v>
      </c>
      <c r="Q187" s="824">
        <f>Q184</f>
        <v>15863.683846153843</v>
      </c>
    </row>
    <row r="188" spans="1:17" s="825" customFormat="1">
      <c r="A188" s="1103"/>
      <c r="B188" s="1104"/>
      <c r="C188" s="1103"/>
      <c r="D188" s="833">
        <v>2</v>
      </c>
      <c r="E188" s="824">
        <f t="shared" ref="E188:J189" si="334">E185</f>
        <v>511371.57383999991</v>
      </c>
      <c r="F188" s="824">
        <f t="shared" si="334"/>
        <v>765.74868749999996</v>
      </c>
      <c r="G188" s="824">
        <f t="shared" si="334"/>
        <v>7085.9802384615386</v>
      </c>
      <c r="H188" s="824">
        <f t="shared" si="334"/>
        <v>40887.450000000004</v>
      </c>
      <c r="I188" s="824">
        <f t="shared" si="334"/>
        <v>7217.8194857142862</v>
      </c>
      <c r="J188" s="824">
        <f t="shared" si="334"/>
        <v>11142.409950000001</v>
      </c>
      <c r="K188" s="824">
        <f t="shared" si="328"/>
        <v>578470.98220167577</v>
      </c>
      <c r="L188" s="824">
        <f t="shared" si="329"/>
        <v>86770.647330251362</v>
      </c>
      <c r="M188" s="824">
        <f t="shared" si="330"/>
        <v>665241.62953192717</v>
      </c>
      <c r="N188" s="824">
        <f t="shared" si="331"/>
        <v>571253.16271596146</v>
      </c>
      <c r="O188" s="824">
        <f t="shared" si="332"/>
        <v>85687.974407394213</v>
      </c>
      <c r="P188" s="824">
        <f t="shared" si="333"/>
        <v>656941.13712335564</v>
      </c>
      <c r="Q188" s="824">
        <f t="shared" ref="Q188:Q189" si="335">Q185</f>
        <v>15863.683846153843</v>
      </c>
    </row>
    <row r="189" spans="1:17" s="825" customFormat="1">
      <c r="A189" s="1103"/>
      <c r="B189" s="1104"/>
      <c r="C189" s="1103"/>
      <c r="D189" s="833">
        <v>3</v>
      </c>
      <c r="E189" s="824">
        <f t="shared" si="334"/>
        <v>511371.57383999991</v>
      </c>
      <c r="F189" s="824">
        <f t="shared" si="334"/>
        <v>765.74868749999996</v>
      </c>
      <c r="G189" s="824">
        <f t="shared" si="334"/>
        <v>7701.391376346156</v>
      </c>
      <c r="H189" s="824">
        <f t="shared" si="334"/>
        <v>40887.450000000004</v>
      </c>
      <c r="I189" s="824">
        <f t="shared" si="334"/>
        <v>7217.8194857142862</v>
      </c>
      <c r="J189" s="824">
        <f t="shared" si="334"/>
        <v>11142.409950000001</v>
      </c>
      <c r="K189" s="824">
        <f t="shared" si="328"/>
        <v>579086.39333956037</v>
      </c>
      <c r="L189" s="824">
        <f t="shared" si="329"/>
        <v>86862.959000934046</v>
      </c>
      <c r="M189" s="824">
        <f t="shared" si="330"/>
        <v>665949.3523404944</v>
      </c>
      <c r="N189" s="824">
        <f t="shared" si="331"/>
        <v>571868.57385384606</v>
      </c>
      <c r="O189" s="824">
        <f t="shared" si="332"/>
        <v>85780.286078076912</v>
      </c>
      <c r="P189" s="824">
        <f t="shared" si="333"/>
        <v>657648.85993192298</v>
      </c>
      <c r="Q189" s="824">
        <f t="shared" si="335"/>
        <v>15863.683846153843</v>
      </c>
    </row>
    <row r="190" spans="1:17" s="825" customFormat="1">
      <c r="A190" s="1103">
        <v>3</v>
      </c>
      <c r="B190" s="1104" t="s">
        <v>726</v>
      </c>
      <c r="C190" s="1103" t="s">
        <v>51</v>
      </c>
      <c r="D190" s="833">
        <v>1</v>
      </c>
      <c r="E190" s="824">
        <f>E184*1.3</f>
        <v>664783.04599199991</v>
      </c>
      <c r="F190" s="824">
        <f t="shared" ref="F190:J190" si="336">F184*1.3</f>
        <v>995.47329374999993</v>
      </c>
      <c r="G190" s="824">
        <f t="shared" si="336"/>
        <v>8411.7398307500007</v>
      </c>
      <c r="H190" s="824">
        <f t="shared" si="336"/>
        <v>53153.685000000005</v>
      </c>
      <c r="I190" s="824">
        <f t="shared" si="336"/>
        <v>9383.1653314285722</v>
      </c>
      <c r="J190" s="824">
        <f t="shared" si="336"/>
        <v>14485.132935000001</v>
      </c>
      <c r="K190" s="824">
        <f t="shared" si="328"/>
        <v>751212.2423829285</v>
      </c>
      <c r="L190" s="824">
        <f t="shared" si="329"/>
        <v>112681.83635743927</v>
      </c>
      <c r="M190" s="824">
        <f t="shared" si="330"/>
        <v>863894.07874036778</v>
      </c>
      <c r="N190" s="824">
        <f t="shared" si="331"/>
        <v>741829.07705149997</v>
      </c>
      <c r="O190" s="824">
        <f t="shared" si="332"/>
        <v>111274.36155772499</v>
      </c>
      <c r="P190" s="824">
        <f t="shared" si="333"/>
        <v>853103.43860922498</v>
      </c>
      <c r="Q190" s="824">
        <f>Q184*1.3</f>
        <v>20622.788999999997</v>
      </c>
    </row>
    <row r="191" spans="1:17" s="825" customFormat="1">
      <c r="A191" s="1103"/>
      <c r="B191" s="1104"/>
      <c r="C191" s="1103"/>
      <c r="D191" s="833">
        <v>2</v>
      </c>
      <c r="E191" s="824">
        <f t="shared" ref="E191:J192" si="337">E185*1.3</f>
        <v>664783.04599199991</v>
      </c>
      <c r="F191" s="824">
        <f t="shared" si="337"/>
        <v>995.47329374999993</v>
      </c>
      <c r="G191" s="824">
        <f t="shared" si="337"/>
        <v>9211.7743100000007</v>
      </c>
      <c r="H191" s="824">
        <f t="shared" si="337"/>
        <v>53153.685000000005</v>
      </c>
      <c r="I191" s="824">
        <f t="shared" si="337"/>
        <v>9383.1653314285722</v>
      </c>
      <c r="J191" s="824">
        <f t="shared" si="337"/>
        <v>14485.132935000001</v>
      </c>
      <c r="K191" s="824">
        <f t="shared" si="328"/>
        <v>752012.27686217846</v>
      </c>
      <c r="L191" s="824">
        <f t="shared" si="329"/>
        <v>112801.84152932676</v>
      </c>
      <c r="M191" s="824">
        <f t="shared" si="330"/>
        <v>864814.11839150521</v>
      </c>
      <c r="N191" s="824">
        <f t="shared" si="331"/>
        <v>742629.11153074994</v>
      </c>
      <c r="O191" s="824">
        <f t="shared" si="332"/>
        <v>111394.36672961249</v>
      </c>
      <c r="P191" s="824">
        <f t="shared" si="333"/>
        <v>854023.4782603624</v>
      </c>
      <c r="Q191" s="824">
        <f t="shared" ref="Q191:Q192" si="338">Q185*1.3</f>
        <v>20622.788999999997</v>
      </c>
    </row>
    <row r="192" spans="1:17" s="825" customFormat="1">
      <c r="A192" s="1103"/>
      <c r="B192" s="1104"/>
      <c r="C192" s="1103"/>
      <c r="D192" s="833">
        <v>3</v>
      </c>
      <c r="E192" s="824">
        <f t="shared" si="337"/>
        <v>664783.04599199991</v>
      </c>
      <c r="F192" s="824">
        <f t="shared" si="337"/>
        <v>995.47329374999993</v>
      </c>
      <c r="G192" s="824">
        <f t="shared" si="337"/>
        <v>10011.808789250003</v>
      </c>
      <c r="H192" s="824">
        <f t="shared" si="337"/>
        <v>53153.685000000005</v>
      </c>
      <c r="I192" s="824">
        <f t="shared" si="337"/>
        <v>9383.1653314285722</v>
      </c>
      <c r="J192" s="824">
        <f t="shared" si="337"/>
        <v>14485.132935000001</v>
      </c>
      <c r="K192" s="824">
        <f t="shared" si="328"/>
        <v>752812.31134142843</v>
      </c>
      <c r="L192" s="824">
        <f t="shared" si="329"/>
        <v>112921.84670121426</v>
      </c>
      <c r="M192" s="824">
        <f t="shared" si="330"/>
        <v>865734.15804264275</v>
      </c>
      <c r="N192" s="824">
        <f t="shared" si="331"/>
        <v>743429.14600999991</v>
      </c>
      <c r="O192" s="824">
        <f t="shared" si="332"/>
        <v>111514.37190149998</v>
      </c>
      <c r="P192" s="824">
        <f t="shared" si="333"/>
        <v>854943.51791149983</v>
      </c>
      <c r="Q192" s="824">
        <f t="shared" si="338"/>
        <v>20622.788999999997</v>
      </c>
    </row>
    <row r="193" spans="1:17" s="780" customFormat="1" hidden="1">
      <c r="A193" s="1087" t="str">
        <f>NCong!A261</f>
        <v>IV.1</v>
      </c>
      <c r="B193" s="1088" t="str">
        <f>NCong!B261</f>
        <v>CÁC NỘI DUNG THỰC HIỆN TẠI ĐỊA BÀN XÃ, PHƯỜNG, ĐẶC KHU (TRƯỜNG HỢP CÓ CHUẨN BỊ HỢP ĐỒNG THUÊ ĐẤT)</v>
      </c>
      <c r="C193" s="1087" t="s">
        <v>51</v>
      </c>
      <c r="D193" s="777">
        <f>NCong!F261</f>
        <v>1</v>
      </c>
      <c r="E193" s="779">
        <f>NCong!I261</f>
        <v>640295.6375999999</v>
      </c>
      <c r="F193" s="779">
        <f>NCong!I262</f>
        <v>850.83187499999997</v>
      </c>
      <c r="G193" s="779">
        <f>Dcu!J123</f>
        <v>6154.1113788461544</v>
      </c>
      <c r="H193" s="779">
        <f>VLieu!H$92</f>
        <v>27893.5</v>
      </c>
      <c r="I193" s="779">
        <f>Tbi!$I$71</f>
        <v>5978.3550000000005</v>
      </c>
      <c r="J193" s="779">
        <f>Tbi!$I$79</f>
        <v>7266.6657000000005</v>
      </c>
      <c r="K193" s="779">
        <f t="shared" ref="K193:K205" si="339">SUM(E193:J193)</f>
        <v>688439.10155384603</v>
      </c>
      <c r="L193" s="779">
        <f t="shared" ref="L193:L205" si="340">$L$6*K193</f>
        <v>103265.8652330769</v>
      </c>
      <c r="M193" s="779">
        <f t="shared" ref="M193:M205" si="341">K193+L193</f>
        <v>791704.96678692289</v>
      </c>
      <c r="N193" s="779"/>
      <c r="O193" s="779"/>
      <c r="P193" s="779"/>
      <c r="Q193" s="779">
        <f>NCong!J261</f>
        <v>18857.987499999992</v>
      </c>
    </row>
    <row r="194" spans="1:17" s="780" customFormat="1" hidden="1">
      <c r="A194" s="1087"/>
      <c r="B194" s="1088"/>
      <c r="C194" s="1087"/>
      <c r="D194" s="777">
        <f>NCong!F263</f>
        <v>2</v>
      </c>
      <c r="E194" s="779">
        <f>NCong!I263</f>
        <v>640295.6375999999</v>
      </c>
      <c r="F194" s="779">
        <f>NCong!I264</f>
        <v>850.83187499999997</v>
      </c>
      <c r="G194" s="779">
        <f>Dcu!J124</f>
        <v>6837.9015320512826</v>
      </c>
      <c r="H194" s="779">
        <f>VLieu!H$92</f>
        <v>27893.5</v>
      </c>
      <c r="I194" s="779">
        <f>Tbi!$I$71</f>
        <v>5978.3550000000005</v>
      </c>
      <c r="J194" s="779">
        <f>Tbi!$I$79</f>
        <v>7266.6657000000005</v>
      </c>
      <c r="K194" s="779">
        <f t="shared" si="339"/>
        <v>689122.8917070512</v>
      </c>
      <c r="L194" s="779">
        <f t="shared" si="340"/>
        <v>103368.43375605768</v>
      </c>
      <c r="M194" s="779">
        <f t="shared" si="341"/>
        <v>792491.32546310883</v>
      </c>
      <c r="N194" s="779"/>
      <c r="O194" s="779"/>
      <c r="P194" s="779"/>
      <c r="Q194" s="779">
        <f>NCong!J263</f>
        <v>18857.987499999992</v>
      </c>
    </row>
    <row r="195" spans="1:17" s="780" customFormat="1" hidden="1">
      <c r="A195" s="1087"/>
      <c r="B195" s="1088"/>
      <c r="C195" s="1087"/>
      <c r="D195" s="777">
        <f>NCong!F265</f>
        <v>3</v>
      </c>
      <c r="E195" s="779">
        <f>NCong!I265</f>
        <v>640295.6375999999</v>
      </c>
      <c r="F195" s="779">
        <f>NCong!I266</f>
        <v>850.83187499999997</v>
      </c>
      <c r="G195" s="779">
        <f>Dcu!J125</f>
        <v>7521.6916852564118</v>
      </c>
      <c r="H195" s="779">
        <f>VLieu!H$92</f>
        <v>27893.5</v>
      </c>
      <c r="I195" s="779">
        <f>Tbi!$I$71</f>
        <v>5978.3550000000005</v>
      </c>
      <c r="J195" s="779">
        <f>Tbi!$I$79</f>
        <v>7266.6657000000005</v>
      </c>
      <c r="K195" s="779">
        <f t="shared" si="339"/>
        <v>689806.68186025636</v>
      </c>
      <c r="L195" s="779">
        <f t="shared" si="340"/>
        <v>103471.00227903845</v>
      </c>
      <c r="M195" s="779">
        <f t="shared" si="341"/>
        <v>793277.68413929478</v>
      </c>
      <c r="N195" s="779"/>
      <c r="O195" s="779"/>
      <c r="P195" s="779"/>
      <c r="Q195" s="779">
        <f>NCong!J265</f>
        <v>18857.987499999992</v>
      </c>
    </row>
    <row r="196" spans="1:17" hidden="1">
      <c r="A196" s="785" t="str">
        <f>NCong!A296</f>
        <v>10.2</v>
      </c>
      <c r="B196" s="796" t="str">
        <f>NCong!B296</f>
        <v>Trích lục trên bản đồ dạng giấy</v>
      </c>
      <c r="C196" s="785" t="str">
        <f>NCong!C296</f>
        <v>Hồ sơ</v>
      </c>
      <c r="D196" s="797" t="str">
        <f>NCong!F296</f>
        <v>1-3</v>
      </c>
      <c r="E196" s="788">
        <f>NCong!I296</f>
        <v>16043.362500000001</v>
      </c>
      <c r="F196" s="788"/>
      <c r="G196" s="788"/>
      <c r="H196" s="788"/>
      <c r="I196" s="788"/>
      <c r="J196" s="788"/>
      <c r="K196" s="788">
        <f t="shared" si="339"/>
        <v>16043.362500000001</v>
      </c>
      <c r="L196" s="788">
        <f t="shared" si="340"/>
        <v>2406.504375</v>
      </c>
      <c r="M196" s="788">
        <f t="shared" si="341"/>
        <v>18449.866875</v>
      </c>
      <c r="N196" s="788"/>
      <c r="O196" s="788"/>
      <c r="P196" s="788"/>
      <c r="Q196" s="788">
        <f>NCong!J296</f>
        <v>486.53846153846155</v>
      </c>
    </row>
    <row r="197" spans="1:17" s="793" customFormat="1" hidden="1">
      <c r="A197" s="789" t="str">
        <f>NCong!A297</f>
        <v>11</v>
      </c>
      <c r="B197" s="798" t="str">
        <f>NCong!B297</f>
        <v>Lập và gửi Phiếu chuyển thông tin để xác định nghĩa vụ tài chính về đất đai (nếu có)</v>
      </c>
      <c r="C197" s="789">
        <f>NCong!C297</f>
        <v>0</v>
      </c>
      <c r="D197" s="799">
        <f>NCong!F297</f>
        <v>0</v>
      </c>
      <c r="E197" s="792">
        <f>NCong!I297</f>
        <v>0</v>
      </c>
      <c r="F197" s="792"/>
      <c r="G197" s="792"/>
      <c r="H197" s="792"/>
      <c r="I197" s="792"/>
      <c r="J197" s="792"/>
      <c r="K197" s="792">
        <f t="shared" si="339"/>
        <v>0</v>
      </c>
      <c r="L197" s="792">
        <f t="shared" si="340"/>
        <v>0</v>
      </c>
      <c r="M197" s="792">
        <f t="shared" si="341"/>
        <v>0</v>
      </c>
      <c r="N197" s="792"/>
      <c r="O197" s="792"/>
      <c r="P197" s="792"/>
      <c r="Q197" s="792">
        <f>NCong!J297</f>
        <v>0</v>
      </c>
    </row>
    <row r="198" spans="1:17" s="793" customFormat="1" hidden="1">
      <c r="A198" s="789" t="str">
        <f>NCong!A298</f>
        <v>11.1</v>
      </c>
      <c r="B198" s="798" t="str">
        <f>NCong!B298</f>
        <v>Chuyển, nhận thông tin theo hình thức liên thông</v>
      </c>
      <c r="C198" s="789" t="str">
        <f>NCong!C298</f>
        <v>Hồ sơ</v>
      </c>
      <c r="D198" s="799" t="str">
        <f>NCong!F298</f>
        <v>1-3</v>
      </c>
      <c r="E198" s="792">
        <f>NCong!I298</f>
        <v>10815.75</v>
      </c>
      <c r="F198" s="792"/>
      <c r="G198" s="792"/>
      <c r="H198" s="792"/>
      <c r="I198" s="792"/>
      <c r="J198" s="792"/>
      <c r="K198" s="792">
        <f t="shared" si="339"/>
        <v>10815.75</v>
      </c>
      <c r="L198" s="792">
        <f t="shared" si="340"/>
        <v>1622.3625</v>
      </c>
      <c r="M198" s="792">
        <f t="shared" si="341"/>
        <v>12438.112499999999</v>
      </c>
      <c r="N198" s="792"/>
      <c r="O198" s="792"/>
      <c r="P198" s="792"/>
      <c r="Q198" s="792">
        <f>NCong!J298</f>
        <v>291.92307692307691</v>
      </c>
    </row>
    <row r="199" spans="1:17" hidden="1">
      <c r="A199" s="785" t="str">
        <f>NCong!A306</f>
        <v>15.1</v>
      </c>
      <c r="B199" s="787" t="str">
        <f>NCong!B306</f>
        <v>Trực tiếp từ cơ sở dữ liệu dạng số</v>
      </c>
      <c r="C199" s="785" t="str">
        <f>NCong!C306</f>
        <v>GCN</v>
      </c>
      <c r="D199" s="785" t="str">
        <f>NCong!F306</f>
        <v>1-3</v>
      </c>
      <c r="E199" s="788">
        <f>NCong!I306</f>
        <v>16043.362500000001</v>
      </c>
      <c r="F199" s="788"/>
      <c r="G199" s="788"/>
      <c r="H199" s="788">
        <f>VLieu!I128</f>
        <v>0</v>
      </c>
      <c r="I199" s="788"/>
      <c r="J199" s="788"/>
      <c r="K199" s="788">
        <f t="shared" si="339"/>
        <v>16043.362500000001</v>
      </c>
      <c r="L199" s="788">
        <f t="shared" si="340"/>
        <v>2406.504375</v>
      </c>
      <c r="M199" s="788">
        <f t="shared" si="341"/>
        <v>18449.866875</v>
      </c>
      <c r="N199" s="788"/>
      <c r="O199" s="788"/>
      <c r="P199" s="788"/>
      <c r="Q199" s="788">
        <f>NCong!J306</f>
        <v>486.53846153846155</v>
      </c>
    </row>
    <row r="200" spans="1:17" hidden="1">
      <c r="A200" s="785" t="str">
        <f>NCong!A315</f>
        <v>19.2</v>
      </c>
      <c r="B200" s="787" t="str">
        <f>NCong!B315</f>
        <v>Quét trang A4</v>
      </c>
      <c r="C200" s="785" t="str">
        <f>NCong!C315</f>
        <v>Trang</v>
      </c>
      <c r="D200" s="785"/>
      <c r="E200" s="788">
        <f>NCong!I315</f>
        <v>2249.6759999999999</v>
      </c>
      <c r="F200" s="788"/>
      <c r="G200" s="788"/>
      <c r="H200" s="788"/>
      <c r="I200" s="788"/>
      <c r="J200" s="788"/>
      <c r="K200" s="788">
        <f>SUM(E200:J200)</f>
        <v>2249.6759999999999</v>
      </c>
      <c r="L200" s="788">
        <f>$L$6*K200</f>
        <v>337.45139999999998</v>
      </c>
      <c r="M200" s="788">
        <f t="shared" si="341"/>
        <v>2587.1273999999999</v>
      </c>
      <c r="N200" s="788"/>
      <c r="O200" s="788"/>
      <c r="P200" s="788"/>
      <c r="Q200" s="788">
        <f>NCong!J315</f>
        <v>77.84615384615384</v>
      </c>
    </row>
    <row r="201" spans="1:17" ht="14" hidden="1">
      <c r="A201" s="785" t="str">
        <f>NCong!A316</f>
        <v>20</v>
      </c>
      <c r="B201" s="787" t="str">
        <f>NCong!B316</f>
        <v>Xử lý các tệp tin quét thành tệp (File) hồ sơ quét dạng số của thửa đất, lưu trữ dưới khuôn dạng tệp tin PDF</v>
      </c>
      <c r="C201" s="785" t="str">
        <f>NCong!C316</f>
        <v>Trang</v>
      </c>
      <c r="D201" s="785"/>
      <c r="E201" s="788">
        <f>NCong!I316</f>
        <v>9229.44</v>
      </c>
      <c r="F201" s="788"/>
      <c r="G201" s="788"/>
      <c r="H201" s="788"/>
      <c r="I201" s="788"/>
      <c r="J201" s="788"/>
      <c r="K201" s="788">
        <f>SUM(E201:J201)</f>
        <v>9229.44</v>
      </c>
      <c r="L201" s="788">
        <f>$L$6*K201</f>
        <v>1384.4159999999999</v>
      </c>
      <c r="M201" s="788">
        <f t="shared" si="341"/>
        <v>10613.856</v>
      </c>
      <c r="N201" s="788"/>
      <c r="O201" s="788"/>
      <c r="P201" s="788"/>
      <c r="Q201" s="788">
        <f>NCong!J316</f>
        <v>38.92307692307692</v>
      </c>
    </row>
    <row r="202" spans="1:17" hidden="1">
      <c r="A202" s="785" t="str">
        <f>NCong!A317</f>
        <v>21</v>
      </c>
      <c r="B202" s="787" t="str">
        <f>NCong!B317</f>
        <v>Tạo liên kết hồ sơ quét dạng số với thửa đất trong cơ sở dữ liệu</v>
      </c>
      <c r="C202" s="785" t="str">
        <f>NCong!C317</f>
        <v>Thửa</v>
      </c>
      <c r="D202" s="785"/>
      <c r="E202" s="788">
        <f>NCong!I317</f>
        <v>2812.0950000000003</v>
      </c>
      <c r="F202" s="788"/>
      <c r="G202" s="788"/>
      <c r="H202" s="788"/>
      <c r="I202" s="788"/>
      <c r="J202" s="788"/>
      <c r="K202" s="788">
        <f>SUM(E202:J202)</f>
        <v>2812.0950000000003</v>
      </c>
      <c r="L202" s="788">
        <f>$L$6*K202</f>
        <v>421.81425000000002</v>
      </c>
      <c r="M202" s="788">
        <f t="shared" si="341"/>
        <v>3233.9092500000002</v>
      </c>
      <c r="N202" s="788"/>
      <c r="O202" s="788"/>
      <c r="P202" s="788"/>
      <c r="Q202" s="788">
        <f>NCong!J317</f>
        <v>97.307692307692307</v>
      </c>
    </row>
    <row r="203" spans="1:17" ht="14" hidden="1">
      <c r="A203" s="785" t="str">
        <f>NCong!A318</f>
        <v>22</v>
      </c>
      <c r="B203" s="787" t="str">
        <f>NCong!B318</f>
        <v>Chuyển Giấy chứng nhận đến Bộ phận một cửa để trao cho người sử dụng đất hoặc chuyển Giấy chứng nhận cho người sử dụng đất thông qua dịch vụ bưu chính công ích</v>
      </c>
      <c r="C203" s="785" t="str">
        <f>NCong!C318</f>
        <v>Hồ sơ</v>
      </c>
      <c r="D203" s="785"/>
      <c r="E203" s="788">
        <f>NCong!I318</f>
        <v>6417.3450000000003</v>
      </c>
      <c r="F203" s="788"/>
      <c r="G203" s="788"/>
      <c r="H203" s="788"/>
      <c r="I203" s="788"/>
      <c r="J203" s="788"/>
      <c r="K203" s="788">
        <f>SUM(E203:J203)</f>
        <v>6417.3450000000003</v>
      </c>
      <c r="L203" s="788">
        <f>$L$6*K203</f>
        <v>962.60175000000004</v>
      </c>
      <c r="M203" s="788">
        <f t="shared" si="341"/>
        <v>7379.9467500000001</v>
      </c>
      <c r="N203" s="788"/>
      <c r="O203" s="788"/>
      <c r="P203" s="788"/>
      <c r="Q203" s="788">
        <f>NCong!J318</f>
        <v>194.61538461538461</v>
      </c>
    </row>
    <row r="204" spans="1:17" ht="14" hidden="1">
      <c r="A204" s="785" t="str">
        <f>NCong!A319</f>
        <v>23</v>
      </c>
      <c r="B204" s="787" t="str">
        <f>NCong!B319</f>
        <v xml:space="preserve">Nhận hồ sơ địa chính từ tỉnh và gửi về xã, phường, đặc khu (01 bộ) </v>
      </c>
      <c r="C204" s="785" t="str">
        <f>NCong!C319</f>
        <v xml:space="preserve">Bộ/xã , phường, </v>
      </c>
      <c r="D204" s="785"/>
      <c r="E204" s="788">
        <f>NCong!I319</f>
        <v>513.38760000000002</v>
      </c>
      <c r="F204" s="788"/>
      <c r="G204" s="788"/>
      <c r="H204" s="788"/>
      <c r="I204" s="788"/>
      <c r="J204" s="788"/>
      <c r="K204" s="788">
        <f>SUM(E204:J204)</f>
        <v>513.38760000000002</v>
      </c>
      <c r="L204" s="788">
        <f>$L$6*K204</f>
        <v>77.008139999999997</v>
      </c>
      <c r="M204" s="788">
        <f t="shared" si="341"/>
        <v>590.39574000000005</v>
      </c>
      <c r="N204" s="788"/>
      <c r="O204" s="788"/>
      <c r="P204" s="788"/>
      <c r="Q204" s="788">
        <f>NCong!J319</f>
        <v>15.569230769230769</v>
      </c>
    </row>
    <row r="205" spans="1:17" s="780" customFormat="1" hidden="1">
      <c r="A205" s="777" t="str">
        <f>NCong!A320</f>
        <v>IV.2</v>
      </c>
      <c r="B205" s="781" t="str">
        <f>NCong!B320</f>
        <v>CÁC NỘI DUNG THỰC HIỆN TẠI ĐỊA BÀN CẤP TỈNH</v>
      </c>
      <c r="C205" s="777" t="s">
        <v>51</v>
      </c>
      <c r="D205" s="777">
        <f>NCong!F320</f>
        <v>0</v>
      </c>
      <c r="E205" s="794">
        <f>NCong!I320</f>
        <v>29383.41841875</v>
      </c>
      <c r="F205" s="794"/>
      <c r="G205" s="794">
        <f>Dcu!L123</f>
        <v>1035.409844017094</v>
      </c>
      <c r="H205" s="794">
        <f>VLieu!J92</f>
        <v>17537</v>
      </c>
      <c r="I205" s="794">
        <f>Tbi!I80</f>
        <v>2041.4444285714285</v>
      </c>
      <c r="J205" s="794">
        <f>Tbi!I86+Dcu!L$119</f>
        <v>5113.7897999999996</v>
      </c>
      <c r="K205" s="794">
        <f t="shared" si="339"/>
        <v>55111.062491338518</v>
      </c>
      <c r="L205" s="794">
        <f t="shared" si="340"/>
        <v>8266.659373700777</v>
      </c>
      <c r="M205" s="794">
        <f t="shared" si="341"/>
        <v>63377.721865039297</v>
      </c>
      <c r="N205" s="794"/>
      <c r="O205" s="794"/>
      <c r="P205" s="794"/>
      <c r="Q205" s="794">
        <f>NCong!J320</f>
        <v>714.48173076923069</v>
      </c>
    </row>
    <row r="206" spans="1:17" s="769" customFormat="1" ht="13.5" customHeight="1">
      <c r="A206" s="800" t="str">
        <f>NCong!A340</f>
        <v>V</v>
      </c>
      <c r="B206" s="1100" t="str">
        <f>NCong!B340</f>
        <v>Đăng ký, cấp đổi, cấp lại Giấy chứng nhận riêng lẻ đối với hộ gia đình, cá nhân, cộng đồng dân cư, người gốc Việt Nam định cư ở nước ngoài</v>
      </c>
      <c r="C206" s="1099"/>
      <c r="D206" s="1099"/>
      <c r="E206" s="1099"/>
      <c r="F206" s="1099"/>
      <c r="G206" s="1099"/>
      <c r="H206" s="1099"/>
      <c r="I206" s="1099"/>
      <c r="J206" s="1099"/>
      <c r="K206" s="1099"/>
      <c r="L206" s="1099"/>
      <c r="M206" s="1099"/>
      <c r="N206" s="1099"/>
      <c r="O206" s="1099"/>
      <c r="P206" s="1099"/>
      <c r="Q206" s="771"/>
    </row>
    <row r="207" spans="1:17" s="769" customFormat="1">
      <c r="A207" s="800" t="s">
        <v>135</v>
      </c>
      <c r="B207" s="1100" t="s">
        <v>549</v>
      </c>
      <c r="C207" s="1099"/>
      <c r="D207" s="1099"/>
      <c r="E207" s="1099"/>
      <c r="F207" s="1099"/>
      <c r="G207" s="1099"/>
      <c r="H207" s="1099"/>
      <c r="I207" s="1099"/>
      <c r="J207" s="1099"/>
      <c r="K207" s="1099"/>
      <c r="L207" s="1099"/>
      <c r="M207" s="1099"/>
      <c r="N207" s="1099"/>
      <c r="O207" s="1099"/>
      <c r="P207" s="1099"/>
      <c r="Q207" s="771"/>
    </row>
    <row r="208" spans="1:17" s="769" customFormat="1" ht="14">
      <c r="A208" s="800">
        <v>1</v>
      </c>
      <c r="B208" s="774" t="s">
        <v>728</v>
      </c>
      <c r="C208" s="800" t="s">
        <v>51</v>
      </c>
      <c r="D208" s="801" t="s">
        <v>31</v>
      </c>
      <c r="E208" s="776">
        <f>SUM(E217:E218)</f>
        <v>947142.43799999997</v>
      </c>
      <c r="F208" s="776">
        <f t="shared" ref="F208:J208" si="342">SUM(F217:F217)</f>
        <v>0</v>
      </c>
      <c r="G208" s="776">
        <f t="shared" si="342"/>
        <v>10398.359705128205</v>
      </c>
      <c r="H208" s="776">
        <f t="shared" si="342"/>
        <v>21929</v>
      </c>
      <c r="I208" s="776">
        <f t="shared" si="342"/>
        <v>12104.866857142857</v>
      </c>
      <c r="J208" s="776">
        <f t="shared" si="342"/>
        <v>25298.1561</v>
      </c>
      <c r="K208" s="776">
        <f t="shared" ref="K208" si="343">SUM(E208:J208)</f>
        <v>1016872.8206622711</v>
      </c>
      <c r="L208" s="776">
        <f t="shared" ref="L208:L216" si="344">K208*15%</f>
        <v>152530.92309934067</v>
      </c>
      <c r="M208" s="776">
        <f t="shared" ref="M208" si="345">K208+L208</f>
        <v>1169403.7437616119</v>
      </c>
      <c r="N208" s="776">
        <f t="shared" ref="N208" si="346">K208-I208</f>
        <v>1004767.9538051282</v>
      </c>
      <c r="O208" s="776">
        <f t="shared" ref="O208:O216" si="347">$L$6*N208</f>
        <v>150715.19307076922</v>
      </c>
      <c r="P208" s="776">
        <f t="shared" ref="P208" si="348">N208+O208</f>
        <v>1155483.1468758974</v>
      </c>
      <c r="Q208" s="776">
        <f>SUM(Q217:Q217)</f>
        <v>27966.230769230762</v>
      </c>
    </row>
    <row r="209" spans="1:17" s="769" customFormat="1" ht="14">
      <c r="A209" s="771">
        <v>2</v>
      </c>
      <c r="B209" s="774" t="s">
        <v>729</v>
      </c>
      <c r="C209" s="800" t="s">
        <v>51</v>
      </c>
      <c r="D209" s="801" t="s">
        <v>31</v>
      </c>
      <c r="E209" s="776">
        <f>NCong!L341+NCong!L390</f>
        <v>878585.00399999996</v>
      </c>
      <c r="F209" s="776"/>
      <c r="G209" s="776">
        <f>G208</f>
        <v>10398.359705128205</v>
      </c>
      <c r="H209" s="776">
        <f t="shared" ref="H209:J209" si="349">H208</f>
        <v>21929</v>
      </c>
      <c r="I209" s="776">
        <f t="shared" si="349"/>
        <v>12104.866857142857</v>
      </c>
      <c r="J209" s="776">
        <f t="shared" si="349"/>
        <v>25298.1561</v>
      </c>
      <c r="K209" s="776">
        <f t="shared" ref="K209" si="350">SUM(E209:J209)</f>
        <v>948315.38666227111</v>
      </c>
      <c r="L209" s="776">
        <f t="shared" si="344"/>
        <v>142247.30799934067</v>
      </c>
      <c r="M209" s="776">
        <f t="shared" ref="M209" si="351">K209+L209</f>
        <v>1090562.6946616117</v>
      </c>
      <c r="N209" s="776">
        <f t="shared" ref="N209" si="352">K209-I209</f>
        <v>936210.51980512822</v>
      </c>
      <c r="O209" s="776">
        <f t="shared" si="347"/>
        <v>140431.57797076923</v>
      </c>
      <c r="P209" s="776">
        <f t="shared" ref="P209" si="353">N209+O209</f>
        <v>1076642.0977758975</v>
      </c>
      <c r="Q209" s="776">
        <f>NCong!O341+NCong!O390</f>
        <v>26263.346153846149</v>
      </c>
    </row>
    <row r="210" spans="1:17" s="769" customFormat="1" ht="21">
      <c r="A210" s="771">
        <v>3</v>
      </c>
      <c r="B210" s="774" t="s">
        <v>730</v>
      </c>
      <c r="C210" s="800" t="s">
        <v>51</v>
      </c>
      <c r="D210" s="801" t="s">
        <v>31</v>
      </c>
      <c r="E210" s="776">
        <f>NCong!M341+NCong!M390</f>
        <v>1235569.6485000001</v>
      </c>
      <c r="F210" s="776"/>
      <c r="G210" s="776">
        <f>G208*1.3</f>
        <v>13517.867616666666</v>
      </c>
      <c r="H210" s="776">
        <f t="shared" ref="H210:J210" si="354">H208*1.3</f>
        <v>28507.7</v>
      </c>
      <c r="I210" s="776">
        <f t="shared" si="354"/>
        <v>15736.326914285715</v>
      </c>
      <c r="J210" s="776">
        <f t="shared" si="354"/>
        <v>32887.602930000001</v>
      </c>
      <c r="K210" s="776">
        <f t="shared" ref="K210:K211" si="355">SUM(E210:J210)</f>
        <v>1326219.1459609526</v>
      </c>
      <c r="L210" s="776">
        <f t="shared" si="344"/>
        <v>198932.87189414288</v>
      </c>
      <c r="M210" s="776">
        <f t="shared" ref="M210:M211" si="356">K210+L210</f>
        <v>1525152.0178550954</v>
      </c>
      <c r="N210" s="776">
        <f t="shared" ref="N210:N211" si="357">K210-I210</f>
        <v>1310482.8190466668</v>
      </c>
      <c r="O210" s="776">
        <f t="shared" si="347"/>
        <v>196572.42285700003</v>
      </c>
      <c r="P210" s="776">
        <f t="shared" ref="P210:P211" si="358">N210+O210</f>
        <v>1507055.2419036669</v>
      </c>
      <c r="Q210" s="776">
        <f>NCong!P341+NCong!P390</f>
        <v>36743.384615384624</v>
      </c>
    </row>
    <row r="211" spans="1:17" s="769" customFormat="1" ht="14">
      <c r="A211" s="771">
        <v>4</v>
      </c>
      <c r="B211" s="774" t="s">
        <v>722</v>
      </c>
      <c r="C211" s="800" t="s">
        <v>51</v>
      </c>
      <c r="D211" s="801" t="s">
        <v>31</v>
      </c>
      <c r="E211" s="776">
        <f>0.3*(NCong!K346+NCong!K347+NCong!K350+NCong!K351+NCong!K354+NCong!K357+NCong!K358+NCong!K362+NCong!K363+NCong!K364+NCong!K365+NCong!K367+NCong!K370+NCong!K373+NCong!K380+NCong!K383+NCong!K384+NCong!K385+NCong!K387+NCong!K390)</f>
        <v>277155.75689999998</v>
      </c>
      <c r="F211" s="776"/>
      <c r="G211" s="776">
        <f>G208*0.3</f>
        <v>3119.5079115384615</v>
      </c>
      <c r="H211" s="776">
        <f t="shared" ref="H211:J211" si="359">H208*0.3</f>
        <v>6578.7</v>
      </c>
      <c r="I211" s="776">
        <f t="shared" si="359"/>
        <v>3631.4600571428568</v>
      </c>
      <c r="J211" s="776">
        <f t="shared" si="359"/>
        <v>7589.4468299999999</v>
      </c>
      <c r="K211" s="776">
        <f t="shared" si="355"/>
        <v>298074.87169868127</v>
      </c>
      <c r="L211" s="776">
        <f t="shared" si="344"/>
        <v>44711.230754802185</v>
      </c>
      <c r="M211" s="776">
        <f t="shared" si="356"/>
        <v>342786.10245348344</v>
      </c>
      <c r="N211" s="776">
        <f t="shared" si="357"/>
        <v>294443.41164153843</v>
      </c>
      <c r="O211" s="776">
        <f t="shared" si="347"/>
        <v>44166.511746230761</v>
      </c>
      <c r="P211" s="776">
        <f t="shared" si="358"/>
        <v>338609.9233877692</v>
      </c>
      <c r="Q211" s="776">
        <f>0.3*(NCong!N346+NCong!N347+NCong!N350+NCong!N351+NCong!N354+NCong!N357+NCong!N358+NCong!N362+NCong!N363+NCong!N364+NCong!N365+NCong!N367+NCong!N370+NCong!N373+NCong!N380+NCong!N383+NCong!N384+NCong!N385+NCong!N387+NCong!N390)</f>
        <v>8252.6653846153822</v>
      </c>
    </row>
    <row r="212" spans="1:17" s="769" customFormat="1">
      <c r="A212" s="800" t="s">
        <v>135</v>
      </c>
      <c r="B212" s="1100" t="s">
        <v>550</v>
      </c>
      <c r="C212" s="1099"/>
      <c r="D212" s="1099"/>
      <c r="E212" s="1099"/>
      <c r="F212" s="1099"/>
      <c r="G212" s="1099"/>
      <c r="H212" s="1099"/>
      <c r="I212" s="1099"/>
      <c r="J212" s="1099"/>
      <c r="K212" s="1099"/>
      <c r="L212" s="1099"/>
      <c r="M212" s="1099"/>
      <c r="N212" s="1099"/>
      <c r="O212" s="1099"/>
      <c r="P212" s="1099"/>
      <c r="Q212" s="771"/>
    </row>
    <row r="213" spans="1:17" s="769" customFormat="1" ht="14">
      <c r="A213" s="800">
        <v>1</v>
      </c>
      <c r="B213" s="774" t="s">
        <v>728</v>
      </c>
      <c r="C213" s="800" t="s">
        <v>51</v>
      </c>
      <c r="D213" s="801" t="s">
        <v>31</v>
      </c>
      <c r="E213" s="776">
        <f>NCong!K342+NCong!K390</f>
        <v>1077364.068</v>
      </c>
      <c r="F213" s="776"/>
      <c r="G213" s="776">
        <f>G208</f>
        <v>10398.359705128205</v>
      </c>
      <c r="H213" s="776">
        <f t="shared" ref="H213:J213" si="360">H208</f>
        <v>21929</v>
      </c>
      <c r="I213" s="776">
        <f t="shared" si="360"/>
        <v>12104.866857142857</v>
      </c>
      <c r="J213" s="776">
        <f t="shared" si="360"/>
        <v>25298.1561</v>
      </c>
      <c r="K213" s="776">
        <f t="shared" ref="K213" si="361">SUM(E213:J213)</f>
        <v>1147094.4506622711</v>
      </c>
      <c r="L213" s="776">
        <f t="shared" si="344"/>
        <v>172064.16759934067</v>
      </c>
      <c r="M213" s="776">
        <f t="shared" ref="M213" si="362">K213+L213</f>
        <v>1319158.6182616118</v>
      </c>
      <c r="N213" s="776">
        <f t="shared" ref="N213" si="363">K213-I213</f>
        <v>1134989.5838051282</v>
      </c>
      <c r="O213" s="776">
        <f t="shared" si="347"/>
        <v>170248.43757076922</v>
      </c>
      <c r="P213" s="776">
        <f t="shared" ref="P213" si="364">N213+O213</f>
        <v>1305238.0213758973</v>
      </c>
      <c r="Q213" s="776">
        <f>NCong!N342+NCong!N390</f>
        <v>30690.846153846145</v>
      </c>
    </row>
    <row r="214" spans="1:17" s="769" customFormat="1" ht="14">
      <c r="A214" s="771">
        <v>2</v>
      </c>
      <c r="B214" s="774" t="s">
        <v>729</v>
      </c>
      <c r="C214" s="800" t="s">
        <v>51</v>
      </c>
      <c r="D214" s="801" t="s">
        <v>31</v>
      </c>
      <c r="E214" s="776">
        <f>NCong!L342+NCong!L390</f>
        <v>1008806.634</v>
      </c>
      <c r="F214" s="776"/>
      <c r="G214" s="776">
        <f>G213</f>
        <v>10398.359705128205</v>
      </c>
      <c r="H214" s="776">
        <f t="shared" ref="H214:J214" si="365">H213</f>
        <v>21929</v>
      </c>
      <c r="I214" s="776">
        <f t="shared" si="365"/>
        <v>12104.866857142857</v>
      </c>
      <c r="J214" s="776">
        <f t="shared" si="365"/>
        <v>25298.1561</v>
      </c>
      <c r="K214" s="776">
        <f t="shared" ref="K214:K216" si="366">SUM(E214:J214)</f>
        <v>1078537.016662271</v>
      </c>
      <c r="L214" s="776">
        <f t="shared" si="344"/>
        <v>161780.55249934064</v>
      </c>
      <c r="M214" s="776">
        <f t="shared" ref="M214:M216" si="367">K214+L214</f>
        <v>1240317.5691616116</v>
      </c>
      <c r="N214" s="776">
        <f t="shared" ref="N214:N216" si="368">K214-I214</f>
        <v>1066432.1498051281</v>
      </c>
      <c r="O214" s="776">
        <f t="shared" si="347"/>
        <v>159964.8224707692</v>
      </c>
      <c r="P214" s="776">
        <f t="shared" ref="P214:P216" si="369">N214+O214</f>
        <v>1226396.9722758974</v>
      </c>
      <c r="Q214" s="776">
        <f>NCong!O342+NCong!O390</f>
        <v>28793.346153846149</v>
      </c>
    </row>
    <row r="215" spans="1:17" s="769" customFormat="1" ht="21">
      <c r="A215" s="771">
        <v>3</v>
      </c>
      <c r="B215" s="774" t="s">
        <v>730</v>
      </c>
      <c r="C215" s="800" t="s">
        <v>51</v>
      </c>
      <c r="D215" s="801" t="s">
        <v>31</v>
      </c>
      <c r="E215" s="776">
        <f>NCong!M342+NCong!M390</f>
        <v>1384848.6300000004</v>
      </c>
      <c r="F215" s="776"/>
      <c r="G215" s="776">
        <f>G210</f>
        <v>13517.867616666666</v>
      </c>
      <c r="H215" s="776">
        <f t="shared" ref="H215:J215" si="370">H210</f>
        <v>28507.7</v>
      </c>
      <c r="I215" s="776">
        <f t="shared" si="370"/>
        <v>15736.326914285715</v>
      </c>
      <c r="J215" s="776">
        <f t="shared" si="370"/>
        <v>32887.602930000001</v>
      </c>
      <c r="K215" s="776">
        <f t="shared" si="366"/>
        <v>1475498.1274609528</v>
      </c>
      <c r="L215" s="776">
        <f t="shared" si="344"/>
        <v>221324.71911914292</v>
      </c>
      <c r="M215" s="776">
        <f t="shared" si="367"/>
        <v>1696822.8465800958</v>
      </c>
      <c r="N215" s="776">
        <f t="shared" si="368"/>
        <v>1459761.8005466671</v>
      </c>
      <c r="O215" s="776">
        <f t="shared" si="347"/>
        <v>218964.27008200006</v>
      </c>
      <c r="P215" s="776">
        <f t="shared" si="369"/>
        <v>1678726.0706286673</v>
      </c>
      <c r="Q215" s="776">
        <f>NCong!P342+NCong!P390</f>
        <v>39351.23076923078</v>
      </c>
    </row>
    <row r="216" spans="1:17" s="769" customFormat="1" ht="14">
      <c r="A216" s="771">
        <v>4</v>
      </c>
      <c r="B216" s="774" t="s">
        <v>722</v>
      </c>
      <c r="C216" s="800" t="s">
        <v>51</v>
      </c>
      <c r="D216" s="801" t="s">
        <v>31</v>
      </c>
      <c r="E216" s="776">
        <f>E211</f>
        <v>277155.75689999998</v>
      </c>
      <c r="F216" s="776">
        <f t="shared" ref="F216:J216" si="371">F211</f>
        <v>0</v>
      </c>
      <c r="G216" s="776">
        <f t="shared" si="371"/>
        <v>3119.5079115384615</v>
      </c>
      <c r="H216" s="776">
        <f t="shared" si="371"/>
        <v>6578.7</v>
      </c>
      <c r="I216" s="776">
        <f t="shared" si="371"/>
        <v>3631.4600571428568</v>
      </c>
      <c r="J216" s="776">
        <f t="shared" si="371"/>
        <v>7589.4468299999999</v>
      </c>
      <c r="K216" s="776">
        <f t="shared" si="366"/>
        <v>298074.87169868127</v>
      </c>
      <c r="L216" s="776">
        <f t="shared" si="344"/>
        <v>44711.230754802185</v>
      </c>
      <c r="M216" s="776">
        <f t="shared" si="367"/>
        <v>342786.10245348344</v>
      </c>
      <c r="N216" s="776">
        <f t="shared" si="368"/>
        <v>294443.41164153843</v>
      </c>
      <c r="O216" s="776">
        <f t="shared" si="347"/>
        <v>44166.511746230761</v>
      </c>
      <c r="P216" s="776">
        <f t="shared" si="369"/>
        <v>338609.9233877692</v>
      </c>
      <c r="Q216" s="776">
        <f>0.3*(NCong!N346+NCong!N347+NCong!N350+NCong!N351+NCong!N354+NCong!N357+NCong!N358+NCong!N362+NCong!N363+NCong!N364+NCong!N365+NCong!N367+NCong!N370+NCong!N373+NCong!N380+NCong!N383+NCong!N384+NCong!N385+NCong!N387+NCong!N390)</f>
        <v>8252.6653846153822</v>
      </c>
    </row>
    <row r="217" spans="1:17" s="780" customFormat="1" hidden="1">
      <c r="A217" s="777" t="str">
        <f>NCong!A341</f>
        <v>V.1</v>
      </c>
      <c r="B217" s="781" t="str">
        <f>NCong!B341</f>
        <v>CÁC NỘI DUNG THỰC HIỆN TẠI ĐỊA BÀN CẤP XÃ,PHƯỜNG (CẤP ĐỔI GCN)</v>
      </c>
      <c r="C217" s="777" t="s">
        <v>51</v>
      </c>
      <c r="D217" s="778" t="s">
        <v>31</v>
      </c>
      <c r="E217" s="779">
        <f>NCong!K341</f>
        <v>940725.09299999999</v>
      </c>
      <c r="F217" s="779"/>
      <c r="G217" s="779">
        <f>Dcu!K178</f>
        <v>10398.359705128205</v>
      </c>
      <c r="H217" s="779">
        <f>VLieu!I113</f>
        <v>21929</v>
      </c>
      <c r="I217" s="779">
        <f>Tbi!I100</f>
        <v>12104.866857142857</v>
      </c>
      <c r="J217" s="779">
        <f>Tbi!I107+Dcu!K177</f>
        <v>25298.1561</v>
      </c>
      <c r="K217" s="779">
        <f>SUM(E217:J217)</f>
        <v>1010455.4756622711</v>
      </c>
      <c r="L217" s="779">
        <f>$L$6*K217</f>
        <v>151568.32134934067</v>
      </c>
      <c r="M217" s="779">
        <f>K217+L217</f>
        <v>1162023.7970116118</v>
      </c>
      <c r="N217" s="779"/>
      <c r="O217" s="779"/>
      <c r="P217" s="779"/>
      <c r="Q217" s="779">
        <f>NCong!N341</f>
        <v>27966.230769230762</v>
      </c>
    </row>
    <row r="218" spans="1:17" s="780" customFormat="1" hidden="1">
      <c r="A218" s="777" t="s">
        <v>136</v>
      </c>
      <c r="B218" s="781" t="s">
        <v>191</v>
      </c>
      <c r="C218" s="777" t="s">
        <v>51</v>
      </c>
      <c r="D218" s="778" t="s">
        <v>31</v>
      </c>
      <c r="E218" s="779">
        <f>NCong!K390</f>
        <v>6417.3450000000003</v>
      </c>
      <c r="F218" s="779"/>
      <c r="G218" s="779"/>
      <c r="H218" s="779"/>
      <c r="I218" s="779"/>
      <c r="J218" s="779"/>
      <c r="K218" s="779"/>
      <c r="L218" s="779"/>
      <c r="M218" s="779"/>
      <c r="N218" s="779"/>
      <c r="O218" s="779"/>
      <c r="P218" s="779"/>
      <c r="Q218" s="779"/>
    </row>
    <row r="219" spans="1:17" s="769" customFormat="1" ht="14.25" customHeight="1">
      <c r="A219" s="837" t="s">
        <v>229</v>
      </c>
      <c r="B219" s="1081" t="str">
        <f>NCong!B401</f>
        <v>Đăng ký, cấp đổi, cấp lại Giấy chứng nhận riêng lẻ đối với tổ chức, tổ chức tôn giáo, tổ chức tôn giáo trực thuộc, tổ chức nước ngoài có chức năng ngoại giao, tổ chức kinh tế có vốn đầu tư nước ngoài, tổ chức nước ngoài, cá nhân nước ngoài</v>
      </c>
      <c r="C219" s="1082"/>
      <c r="D219" s="1082"/>
      <c r="E219" s="1082"/>
      <c r="F219" s="1082"/>
      <c r="G219" s="1082"/>
      <c r="H219" s="1082"/>
      <c r="I219" s="1082"/>
      <c r="J219" s="1082"/>
      <c r="K219" s="1082"/>
      <c r="L219" s="1082"/>
      <c r="M219" s="1082"/>
      <c r="N219" s="1082"/>
      <c r="O219" s="1082"/>
      <c r="P219" s="1082"/>
      <c r="Q219" s="783"/>
    </row>
    <row r="220" spans="1:17" s="769" customFormat="1">
      <c r="A220" s="800" t="s">
        <v>556</v>
      </c>
      <c r="B220" s="1100" t="s">
        <v>549</v>
      </c>
      <c r="C220" s="1099"/>
      <c r="D220" s="1099"/>
      <c r="E220" s="1099"/>
      <c r="F220" s="1099"/>
      <c r="G220" s="1099"/>
      <c r="H220" s="1099"/>
      <c r="I220" s="1099"/>
      <c r="J220" s="1099"/>
      <c r="K220" s="1099"/>
      <c r="L220" s="1099"/>
      <c r="M220" s="1099"/>
      <c r="N220" s="1099"/>
      <c r="O220" s="1099"/>
      <c r="P220" s="1099"/>
      <c r="Q220" s="783"/>
    </row>
    <row r="221" spans="1:17" s="769" customFormat="1" ht="14">
      <c r="A221" s="800">
        <v>1</v>
      </c>
      <c r="B221" s="774" t="s">
        <v>728</v>
      </c>
      <c r="C221" s="800" t="s">
        <v>51</v>
      </c>
      <c r="D221" s="801" t="s">
        <v>31</v>
      </c>
      <c r="E221" s="776">
        <f t="shared" ref="E221:J221" si="372">E228+E229</f>
        <v>1048774.4354999999</v>
      </c>
      <c r="F221" s="776">
        <f t="shared" si="372"/>
        <v>0</v>
      </c>
      <c r="G221" s="776">
        <f t="shared" si="372"/>
        <v>15205.090666666665</v>
      </c>
      <c r="H221" s="776">
        <f t="shared" si="372"/>
        <v>29778</v>
      </c>
      <c r="I221" s="776">
        <f t="shared" si="372"/>
        <v>16139.142142857143</v>
      </c>
      <c r="J221" s="776">
        <f t="shared" si="372"/>
        <v>33726.348599999998</v>
      </c>
      <c r="K221" s="776">
        <f t="shared" ref="K221" si="373">SUM(E221:J221)</f>
        <v>1143623.0169095236</v>
      </c>
      <c r="L221" s="776">
        <f t="shared" ref="L221:L223" si="374">K221*15%</f>
        <v>171543.45253642855</v>
      </c>
      <c r="M221" s="776">
        <f t="shared" ref="M221" si="375">K221+L221</f>
        <v>1315166.4694459522</v>
      </c>
      <c r="N221" s="776">
        <f t="shared" ref="N221" si="376">K221-I221</f>
        <v>1127483.8747666664</v>
      </c>
      <c r="O221" s="776">
        <f t="shared" ref="O221:O223" si="377">$L$6*N221</f>
        <v>169122.58121499995</v>
      </c>
      <c r="P221" s="776">
        <f t="shared" ref="P221" si="378">N221+O221</f>
        <v>1296606.4559816665</v>
      </c>
      <c r="Q221" s="776">
        <f>Q228+Q229</f>
        <v>29717.76923076923</v>
      </c>
    </row>
    <row r="222" spans="1:17" s="769" customFormat="1" ht="14">
      <c r="A222" s="771">
        <v>2</v>
      </c>
      <c r="B222" s="774" t="s">
        <v>729</v>
      </c>
      <c r="C222" s="800" t="s">
        <v>51</v>
      </c>
      <c r="D222" s="801" t="s">
        <v>31</v>
      </c>
      <c r="E222" s="776">
        <f>NCong!L402+NCong!L445</f>
        <v>980217.0014999999</v>
      </c>
      <c r="F222" s="776">
        <f t="shared" ref="F222:J222" si="379">F221</f>
        <v>0</v>
      </c>
      <c r="G222" s="776">
        <f t="shared" si="379"/>
        <v>15205.090666666665</v>
      </c>
      <c r="H222" s="776">
        <f t="shared" si="379"/>
        <v>29778</v>
      </c>
      <c r="I222" s="776">
        <f t="shared" si="379"/>
        <v>16139.142142857143</v>
      </c>
      <c r="J222" s="776">
        <f t="shared" si="379"/>
        <v>33726.348599999998</v>
      </c>
      <c r="K222" s="776">
        <f t="shared" ref="K222:K223" si="380">SUM(E222:J222)</f>
        <v>1075065.5829095237</v>
      </c>
      <c r="L222" s="776">
        <f t="shared" si="374"/>
        <v>161259.83743642856</v>
      </c>
      <c r="M222" s="776">
        <f t="shared" ref="M222:M223" si="381">K222+L222</f>
        <v>1236325.4203459523</v>
      </c>
      <c r="N222" s="776">
        <f t="shared" ref="N222:N223" si="382">K222-I222</f>
        <v>1058926.4407666666</v>
      </c>
      <c r="O222" s="776">
        <f t="shared" si="377"/>
        <v>158838.96611499999</v>
      </c>
      <c r="P222" s="776">
        <f t="shared" ref="P222:P223" si="383">N222+O222</f>
        <v>1217765.4068816665</v>
      </c>
      <c r="Q222" s="776">
        <f>NCong!O402+NCong!O445</f>
        <v>27820.269230769227</v>
      </c>
    </row>
    <row r="223" spans="1:17" s="769" customFormat="1" ht="21">
      <c r="A223" s="771">
        <v>3</v>
      </c>
      <c r="B223" s="774" t="s">
        <v>730</v>
      </c>
      <c r="C223" s="800" t="s">
        <v>51</v>
      </c>
      <c r="D223" s="801" t="s">
        <v>31</v>
      </c>
      <c r="E223" s="776">
        <f>NCong!M402+NCong!M445</f>
        <v>1460320.9335</v>
      </c>
      <c r="F223" s="776"/>
      <c r="G223" s="776">
        <f>G221*1.3</f>
        <v>19766.617866666664</v>
      </c>
      <c r="H223" s="776">
        <f t="shared" ref="H223:J223" si="384">H221*1.3</f>
        <v>38711.4</v>
      </c>
      <c r="I223" s="776">
        <f t="shared" si="384"/>
        <v>20980.884785714286</v>
      </c>
      <c r="J223" s="776">
        <f t="shared" si="384"/>
        <v>43844.25318</v>
      </c>
      <c r="K223" s="776">
        <f t="shared" si="380"/>
        <v>1583624.089332381</v>
      </c>
      <c r="L223" s="776">
        <f t="shared" si="374"/>
        <v>237543.61339985713</v>
      </c>
      <c r="M223" s="776">
        <f t="shared" si="381"/>
        <v>1821167.7027322382</v>
      </c>
      <c r="N223" s="776">
        <f t="shared" si="382"/>
        <v>1562643.2045466667</v>
      </c>
      <c r="O223" s="776">
        <f t="shared" si="377"/>
        <v>234396.48068199999</v>
      </c>
      <c r="P223" s="776">
        <f t="shared" si="383"/>
        <v>1797039.6852286668</v>
      </c>
      <c r="Q223" s="776">
        <f>NCong!P402+NCong!P445</f>
        <v>41326.576923076937</v>
      </c>
    </row>
    <row r="224" spans="1:17" s="769" customFormat="1">
      <c r="A224" s="800" t="s">
        <v>556</v>
      </c>
      <c r="B224" s="1100" t="s">
        <v>550</v>
      </c>
      <c r="C224" s="1099"/>
      <c r="D224" s="1099"/>
      <c r="E224" s="1099"/>
      <c r="F224" s="1099"/>
      <c r="G224" s="1099"/>
      <c r="H224" s="1099"/>
      <c r="I224" s="1099"/>
      <c r="J224" s="1099"/>
      <c r="K224" s="1099"/>
      <c r="L224" s="1099"/>
      <c r="M224" s="1099"/>
      <c r="N224" s="1099"/>
      <c r="O224" s="1099"/>
      <c r="P224" s="1099"/>
      <c r="Q224" s="776"/>
    </row>
    <row r="225" spans="1:17" s="769" customFormat="1" ht="14">
      <c r="A225" s="800">
        <v>1</v>
      </c>
      <c r="B225" s="774" t="s">
        <v>728</v>
      </c>
      <c r="C225" s="800" t="s">
        <v>51</v>
      </c>
      <c r="D225" s="801" t="s">
        <v>31</v>
      </c>
      <c r="E225" s="776">
        <f>NCong!K403+NCong!K445</f>
        <v>960445.81049999991</v>
      </c>
      <c r="F225" s="776"/>
      <c r="G225" s="776">
        <f>G221</f>
        <v>15205.090666666665</v>
      </c>
      <c r="H225" s="776">
        <f t="shared" ref="H225:J225" si="385">H221</f>
        <v>29778</v>
      </c>
      <c r="I225" s="776">
        <f t="shared" si="385"/>
        <v>16139.142142857143</v>
      </c>
      <c r="J225" s="776">
        <f t="shared" si="385"/>
        <v>33726.348599999998</v>
      </c>
      <c r="K225" s="776">
        <f t="shared" ref="K225" si="386">SUM(E225:J225)</f>
        <v>1055294.3919095236</v>
      </c>
      <c r="L225" s="776">
        <f t="shared" ref="L225:L227" si="387">K225*15%</f>
        <v>158294.15878642854</v>
      </c>
      <c r="M225" s="776">
        <f t="shared" ref="M225" si="388">K225+L225</f>
        <v>1213588.5506959523</v>
      </c>
      <c r="N225" s="776">
        <f t="shared" ref="N225" si="389">K225-I225</f>
        <v>1039155.2497666664</v>
      </c>
      <c r="O225" s="776">
        <f t="shared" ref="O225:O227" si="390">$L$6*N225</f>
        <v>155873.28746499997</v>
      </c>
      <c r="P225" s="776">
        <f t="shared" ref="P225" si="391">N225+O225</f>
        <v>1195028.5372316665</v>
      </c>
      <c r="Q225" s="776">
        <f>NCong!N403+NCong!N445</f>
        <v>26798.538461538457</v>
      </c>
    </row>
    <row r="226" spans="1:17" s="769" customFormat="1" ht="14">
      <c r="A226" s="800">
        <v>2</v>
      </c>
      <c r="B226" s="774" t="s">
        <v>729</v>
      </c>
      <c r="C226" s="800" t="s">
        <v>51</v>
      </c>
      <c r="D226" s="801" t="s">
        <v>31</v>
      </c>
      <c r="E226" s="776">
        <f>NCong!L403+NCong!L445</f>
        <v>891888.3764999999</v>
      </c>
      <c r="F226" s="776"/>
      <c r="G226" s="776">
        <f>G222</f>
        <v>15205.090666666665</v>
      </c>
      <c r="H226" s="776">
        <f t="shared" ref="H226:J226" si="392">H222</f>
        <v>29778</v>
      </c>
      <c r="I226" s="776">
        <f t="shared" si="392"/>
        <v>16139.142142857143</v>
      </c>
      <c r="J226" s="776">
        <f t="shared" si="392"/>
        <v>33726.348599999998</v>
      </c>
      <c r="K226" s="776">
        <f t="shared" ref="K226:K227" si="393">SUM(E226:J226)</f>
        <v>986736.95790952374</v>
      </c>
      <c r="L226" s="776">
        <f t="shared" si="387"/>
        <v>148010.54368642854</v>
      </c>
      <c r="M226" s="776">
        <f t="shared" ref="M226:M227" si="394">K226+L226</f>
        <v>1134747.5015959523</v>
      </c>
      <c r="N226" s="776">
        <f t="shared" ref="N226:N227" si="395">K226-I226</f>
        <v>970597.81576666655</v>
      </c>
      <c r="O226" s="776">
        <f t="shared" si="390"/>
        <v>145589.67236499998</v>
      </c>
      <c r="P226" s="776">
        <f t="shared" ref="P226:P227" si="396">N226+O226</f>
        <v>1116187.4881316666</v>
      </c>
      <c r="Q226" s="776">
        <f>NCong!O403+NCong!O445</f>
        <v>24901.038461538461</v>
      </c>
    </row>
    <row r="227" spans="1:17" s="769" customFormat="1" ht="21">
      <c r="A227" s="800">
        <v>3</v>
      </c>
      <c r="B227" s="774" t="s">
        <v>730</v>
      </c>
      <c r="C227" s="800" t="s">
        <v>51</v>
      </c>
      <c r="D227" s="801" t="s">
        <v>31</v>
      </c>
      <c r="E227" s="776">
        <f>NCong!M403+NCong!M445</f>
        <v>1257705.8835</v>
      </c>
      <c r="F227" s="776"/>
      <c r="G227" s="776">
        <f>G225*1.3</f>
        <v>19766.617866666664</v>
      </c>
      <c r="H227" s="776">
        <f t="shared" ref="H227:J227" si="397">H225*1.3</f>
        <v>38711.4</v>
      </c>
      <c r="I227" s="776">
        <f t="shared" si="397"/>
        <v>20980.884785714286</v>
      </c>
      <c r="J227" s="776">
        <f t="shared" si="397"/>
        <v>43844.25318</v>
      </c>
      <c r="K227" s="776">
        <f t="shared" si="393"/>
        <v>1381009.039332381</v>
      </c>
      <c r="L227" s="776">
        <f t="shared" si="387"/>
        <v>207151.35589985715</v>
      </c>
      <c r="M227" s="776">
        <f t="shared" si="394"/>
        <v>1588160.3952322381</v>
      </c>
      <c r="N227" s="776">
        <f t="shared" si="395"/>
        <v>1360028.1545466667</v>
      </c>
      <c r="O227" s="776">
        <f t="shared" si="390"/>
        <v>204004.22318199999</v>
      </c>
      <c r="P227" s="776">
        <f t="shared" si="396"/>
        <v>1564032.3777286666</v>
      </c>
      <c r="Q227" s="776">
        <f>NCong!P403+NCong!P445</f>
        <v>35001.576923076937</v>
      </c>
    </row>
    <row r="228" spans="1:17" s="780" customFormat="1" ht="14" hidden="1">
      <c r="A228" s="777" t="str">
        <f>NCong!A402</f>
        <v>VI.1</v>
      </c>
      <c r="B228" s="781" t="str">
        <f>NCong!B402</f>
        <v>CÁC NỘI DUNG THỰC HIỆN TẠI ĐỊA BÀN CẤP TỈNH (TRƯỜNG HỢP CẤP ĐỔI GCN)</v>
      </c>
      <c r="C228" s="777" t="s">
        <v>51</v>
      </c>
      <c r="D228" s="778"/>
      <c r="E228" s="779">
        <f>NCong!K402</f>
        <v>1042357.0904999999</v>
      </c>
      <c r="F228" s="779"/>
      <c r="G228" s="779">
        <f>Dcu!L196</f>
        <v>15071.291897435896</v>
      </c>
      <c r="H228" s="779">
        <f>VLieu!J132</f>
        <v>28488</v>
      </c>
      <c r="I228" s="779">
        <f>Tbi!I114</f>
        <v>16139.142142857143</v>
      </c>
      <c r="J228" s="779">
        <f>Tbi!I121+Dcu!L195</f>
        <v>33686.280599999998</v>
      </c>
      <c r="K228" s="779">
        <f>SUM(E228:J228)</f>
        <v>1135741.805140293</v>
      </c>
      <c r="L228" s="779">
        <f>$L$6*K228</f>
        <v>170361.27077104393</v>
      </c>
      <c r="M228" s="779">
        <f>K228+L228</f>
        <v>1306103.0759113368</v>
      </c>
      <c r="N228" s="779"/>
      <c r="O228" s="779"/>
      <c r="P228" s="779"/>
      <c r="Q228" s="779">
        <f>NCong!N402</f>
        <v>29523.153846153848</v>
      </c>
    </row>
    <row r="229" spans="1:17" s="780" customFormat="1" hidden="1">
      <c r="A229" s="777" t="str">
        <f>NCong!A445</f>
        <v>VI.2</v>
      </c>
      <c r="B229" s="781" t="str">
        <f>NCong!B445</f>
        <v>CÁC NỘI DUNG THỰC HIỆN TẠI ĐỊA BÀN XÃ, PHƯỜNG, ĐẶC KHU</v>
      </c>
      <c r="C229" s="777" t="s">
        <v>51</v>
      </c>
      <c r="D229" s="778"/>
      <c r="E229" s="779">
        <f>NCong!K446</f>
        <v>6417.3450000000003</v>
      </c>
      <c r="F229" s="779"/>
      <c r="G229" s="779">
        <f>Dcu!J196</f>
        <v>133.79876923076924</v>
      </c>
      <c r="H229" s="779">
        <f>VLieu!H132</f>
        <v>1290</v>
      </c>
      <c r="I229" s="779"/>
      <c r="J229" s="779">
        <f>Dcu!J195</f>
        <v>40.067999999999998</v>
      </c>
      <c r="K229" s="779">
        <f>SUM(E229:J229)</f>
        <v>7881.2117692307693</v>
      </c>
      <c r="L229" s="779">
        <f>$L$6*K229</f>
        <v>1182.1817653846153</v>
      </c>
      <c r="M229" s="779">
        <f>K229+L229</f>
        <v>9063.3935346153849</v>
      </c>
      <c r="N229" s="779"/>
      <c r="O229" s="779"/>
      <c r="P229" s="779"/>
      <c r="Q229" s="779">
        <f>NCong!N445</f>
        <v>194.61538461538461</v>
      </c>
    </row>
    <row r="230" spans="1:17" s="769" customFormat="1" ht="10.5" customHeight="1">
      <c r="A230" s="838" t="str">
        <f>NCong!A453</f>
        <v>VII</v>
      </c>
      <c r="B230" s="1081" t="str">
        <f>NCong!B453</f>
        <v>Đăng ký biến động đất đai đối với hộ gia đình, cá nhân, cộng đồng dân cư, người gốc Việt Nam định cư ở nước ngoài</v>
      </c>
      <c r="C230" s="1082"/>
      <c r="D230" s="1082"/>
      <c r="E230" s="1082"/>
      <c r="F230" s="1082"/>
      <c r="G230" s="1082"/>
      <c r="H230" s="1082"/>
      <c r="I230" s="1082"/>
      <c r="J230" s="1082"/>
      <c r="K230" s="1082"/>
      <c r="L230" s="1082"/>
      <c r="M230" s="1082"/>
      <c r="N230" s="1082"/>
      <c r="O230" s="1082"/>
      <c r="P230" s="1082"/>
      <c r="Q230" s="783"/>
    </row>
    <row r="231" spans="1:17" s="769" customFormat="1" ht="14">
      <c r="A231" s="771" t="s">
        <v>231</v>
      </c>
      <c r="B231" s="774" t="s">
        <v>735</v>
      </c>
      <c r="C231" s="774"/>
      <c r="D231" s="774"/>
      <c r="E231" s="783"/>
      <c r="F231" s="783"/>
      <c r="G231" s="783"/>
      <c r="H231" s="783"/>
      <c r="I231" s="783"/>
      <c r="J231" s="783"/>
      <c r="K231" s="776"/>
      <c r="L231" s="776"/>
      <c r="M231" s="776"/>
      <c r="N231" s="776"/>
      <c r="O231" s="776"/>
      <c r="P231" s="776"/>
      <c r="Q231" s="783"/>
    </row>
    <row r="232" spans="1:17" s="769" customFormat="1">
      <c r="A232" s="771">
        <v>1</v>
      </c>
      <c r="B232" s="774" t="s">
        <v>736</v>
      </c>
      <c r="C232" s="800" t="s">
        <v>51</v>
      </c>
      <c r="D232" s="801" t="s">
        <v>31</v>
      </c>
      <c r="E232" s="783">
        <f>E492</f>
        <v>1998289.1280000003</v>
      </c>
      <c r="F232" s="783">
        <f t="shared" ref="F232:J232" si="398">F492</f>
        <v>0</v>
      </c>
      <c r="G232" s="783">
        <f t="shared" si="398"/>
        <v>15756.390384615384</v>
      </c>
      <c r="H232" s="783">
        <f t="shared" si="398"/>
        <v>31754</v>
      </c>
      <c r="I232" s="783">
        <f t="shared" si="398"/>
        <v>9397.9480357142857</v>
      </c>
      <c r="J232" s="783">
        <f t="shared" si="398"/>
        <v>19023.2847</v>
      </c>
      <c r="K232" s="776">
        <f t="shared" ref="K232" si="399">SUM(E232:J232)</f>
        <v>2074220.7511203298</v>
      </c>
      <c r="L232" s="776">
        <f t="shared" ref="L232" si="400">K232*15%</f>
        <v>311133.11266804946</v>
      </c>
      <c r="M232" s="776">
        <f t="shared" ref="M232" si="401">K232+L232</f>
        <v>2385353.8637883794</v>
      </c>
      <c r="N232" s="776">
        <f t="shared" ref="N232" si="402">K232-I232</f>
        <v>2064822.8030846156</v>
      </c>
      <c r="O232" s="776">
        <f t="shared" ref="O232" si="403">$L$6*N232</f>
        <v>309723.42046269233</v>
      </c>
      <c r="P232" s="776">
        <f t="shared" ref="P232" si="404">N232+O232</f>
        <v>2374546.2235473078</v>
      </c>
      <c r="Q232" s="783">
        <f>NCong!N455</f>
        <v>57411.538461538461</v>
      </c>
    </row>
    <row r="233" spans="1:17" s="769" customFormat="1">
      <c r="A233" s="771">
        <v>2</v>
      </c>
      <c r="B233" s="774" t="s">
        <v>737</v>
      </c>
      <c r="C233" s="800" t="s">
        <v>51</v>
      </c>
      <c r="D233" s="801" t="s">
        <v>31</v>
      </c>
      <c r="E233" s="783">
        <f>NCong!L455</f>
        <v>2192193.8940000008</v>
      </c>
      <c r="F233" s="783"/>
      <c r="G233" s="783">
        <f>G492</f>
        <v>15756.390384615384</v>
      </c>
      <c r="H233" s="783">
        <f t="shared" ref="H233:J233" si="405">H492</f>
        <v>31754</v>
      </c>
      <c r="I233" s="783">
        <f t="shared" si="405"/>
        <v>9397.9480357142857</v>
      </c>
      <c r="J233" s="783">
        <f t="shared" si="405"/>
        <v>19023.2847</v>
      </c>
      <c r="K233" s="776">
        <f t="shared" ref="K233" si="406">SUM(E233:J233)</f>
        <v>2268125.5171203306</v>
      </c>
      <c r="L233" s="776">
        <f t="shared" ref="L233" si="407">K233*15%</f>
        <v>340218.8275680496</v>
      </c>
      <c r="M233" s="776">
        <f t="shared" ref="M233" si="408">K233+L233</f>
        <v>2608344.3446883801</v>
      </c>
      <c r="N233" s="776">
        <f t="shared" ref="N233" si="409">K233-I233</f>
        <v>2258727.5690846164</v>
      </c>
      <c r="O233" s="776">
        <f t="shared" ref="O233" si="410">$L$6*N233</f>
        <v>338809.13536269247</v>
      </c>
      <c r="P233" s="776">
        <f t="shared" ref="P233" si="411">N233+O233</f>
        <v>2597536.704447309</v>
      </c>
      <c r="Q233" s="783">
        <f>NCong!O455</f>
        <v>63444.615384615376</v>
      </c>
    </row>
    <row r="234" spans="1:17" s="769" customFormat="1">
      <c r="A234" s="802">
        <v>3</v>
      </c>
      <c r="B234" s="803" t="s">
        <v>738</v>
      </c>
      <c r="C234" s="804" t="s">
        <v>51</v>
      </c>
      <c r="D234" s="805" t="s">
        <v>31</v>
      </c>
      <c r="E234" s="806">
        <f>NCong!M455</f>
        <v>2740300.0515000005</v>
      </c>
      <c r="F234" s="806"/>
      <c r="G234" s="806">
        <f>G492*1.3</f>
        <v>20483.307499999999</v>
      </c>
      <c r="H234" s="806">
        <f>H492</f>
        <v>31754</v>
      </c>
      <c r="I234" s="806">
        <f>I492*1.3</f>
        <v>12217.332446428572</v>
      </c>
      <c r="J234" s="806">
        <f>J492*1.3</f>
        <v>24730.270110000001</v>
      </c>
      <c r="K234" s="807">
        <f t="shared" ref="K234" si="412">SUM(E234:J234)</f>
        <v>2829484.961556429</v>
      </c>
      <c r="L234" s="807">
        <f t="shared" ref="L234" si="413">K234*15%</f>
        <v>424422.74423346436</v>
      </c>
      <c r="M234" s="807">
        <f t="shared" ref="M234" si="414">K234+L234</f>
        <v>3253907.7057898934</v>
      </c>
      <c r="N234" s="807">
        <f t="shared" ref="N234" si="415">K234-I234</f>
        <v>2817267.6291100006</v>
      </c>
      <c r="O234" s="807">
        <f t="shared" ref="O234" si="416">$L$6*N234</f>
        <v>422590.14436650008</v>
      </c>
      <c r="P234" s="807">
        <f t="shared" ref="P234" si="417">N234+O234</f>
        <v>3239857.7734765005</v>
      </c>
      <c r="Q234" s="806">
        <f>NCong!P455</f>
        <v>79169.538461538439</v>
      </c>
    </row>
    <row r="235" spans="1:17" s="769" customFormat="1" ht="12.75" customHeight="1">
      <c r="A235" s="771" t="s">
        <v>231</v>
      </c>
      <c r="B235" s="774" t="s">
        <v>739</v>
      </c>
      <c r="C235" s="774"/>
      <c r="D235" s="774"/>
      <c r="E235" s="806"/>
      <c r="F235" s="806"/>
      <c r="G235" s="806"/>
      <c r="H235" s="806"/>
      <c r="I235" s="806"/>
      <c r="J235" s="806"/>
      <c r="K235" s="807"/>
      <c r="L235" s="807"/>
      <c r="M235" s="807"/>
      <c r="N235" s="807"/>
      <c r="O235" s="807"/>
      <c r="P235" s="807"/>
      <c r="Q235" s="806"/>
    </row>
    <row r="236" spans="1:17" s="769" customFormat="1">
      <c r="A236" s="771">
        <v>1</v>
      </c>
      <c r="B236" s="774" t="s">
        <v>736</v>
      </c>
      <c r="C236" s="800" t="s">
        <v>51</v>
      </c>
      <c r="D236" s="801" t="s">
        <v>31</v>
      </c>
      <c r="E236" s="806">
        <f>E232</f>
        <v>1998289.1280000003</v>
      </c>
      <c r="F236" s="806"/>
      <c r="G236" s="806">
        <f>G232*0.6</f>
        <v>9453.834230769231</v>
      </c>
      <c r="H236" s="806">
        <f>H232*0.6-VLieu!I145</f>
        <v>10380.399999999998</v>
      </c>
      <c r="I236" s="806">
        <f>I232*0.6</f>
        <v>5638.7688214285708</v>
      </c>
      <c r="J236" s="806">
        <f>J232*0.6</f>
        <v>11413.97082</v>
      </c>
      <c r="K236" s="776">
        <f t="shared" ref="K236:K238" si="418">SUM(E236:J236)</f>
        <v>2035176.1018721978</v>
      </c>
      <c r="L236" s="776">
        <f t="shared" ref="L236:L238" si="419">K236*15%</f>
        <v>305276.41528082965</v>
      </c>
      <c r="M236" s="776">
        <f t="shared" ref="M236:M238" si="420">K236+L236</f>
        <v>2340452.5171530275</v>
      </c>
      <c r="N236" s="776">
        <f t="shared" ref="N236:N238" si="421">K236-I236</f>
        <v>2029537.3330507693</v>
      </c>
      <c r="O236" s="776">
        <f t="shared" ref="O236:O238" si="422">$L$6*N236</f>
        <v>304430.59995761537</v>
      </c>
      <c r="P236" s="776">
        <f t="shared" ref="P236:P238" si="423">N236+O236</f>
        <v>2333967.9330083849</v>
      </c>
      <c r="Q236" s="806">
        <f>NCong!N456</f>
        <v>57411.538461538461</v>
      </c>
    </row>
    <row r="237" spans="1:17" s="769" customFormat="1">
      <c r="A237" s="771">
        <v>2</v>
      </c>
      <c r="B237" s="774" t="s">
        <v>737</v>
      </c>
      <c r="C237" s="800" t="s">
        <v>51</v>
      </c>
      <c r="D237" s="801" t="s">
        <v>31</v>
      </c>
      <c r="E237" s="806">
        <f t="shared" ref="E237:E238" si="424">E233</f>
        <v>2192193.8940000008</v>
      </c>
      <c r="F237" s="806"/>
      <c r="G237" s="806">
        <f t="shared" ref="G237:G238" si="425">G233*0.6</f>
        <v>9453.834230769231</v>
      </c>
      <c r="H237" s="806">
        <f>H236</f>
        <v>10380.399999999998</v>
      </c>
      <c r="I237" s="806">
        <f t="shared" ref="I237:J237" si="426">I233*0.6</f>
        <v>5638.7688214285708</v>
      </c>
      <c r="J237" s="806">
        <f t="shared" si="426"/>
        <v>11413.97082</v>
      </c>
      <c r="K237" s="776">
        <f t="shared" si="418"/>
        <v>2229080.8678721986</v>
      </c>
      <c r="L237" s="776">
        <f t="shared" si="419"/>
        <v>334362.13018082979</v>
      </c>
      <c r="M237" s="776">
        <f t="shared" si="420"/>
        <v>2563442.9980530282</v>
      </c>
      <c r="N237" s="776">
        <f t="shared" si="421"/>
        <v>2223442.09905077</v>
      </c>
      <c r="O237" s="776">
        <f t="shared" si="422"/>
        <v>333516.31485761551</v>
      </c>
      <c r="P237" s="776">
        <f t="shared" si="423"/>
        <v>2556958.4139083857</v>
      </c>
      <c r="Q237" s="806">
        <f>NCong!O456</f>
        <v>63444.615384615376</v>
      </c>
    </row>
    <row r="238" spans="1:17" s="769" customFormat="1">
      <c r="A238" s="802">
        <v>3</v>
      </c>
      <c r="B238" s="803" t="s">
        <v>738</v>
      </c>
      <c r="C238" s="804" t="s">
        <v>51</v>
      </c>
      <c r="D238" s="805" t="s">
        <v>31</v>
      </c>
      <c r="E238" s="806">
        <f t="shared" si="424"/>
        <v>2740300.0515000005</v>
      </c>
      <c r="F238" s="806"/>
      <c r="G238" s="806">
        <f t="shared" si="425"/>
        <v>12289.984499999999</v>
      </c>
      <c r="H238" s="806">
        <f>H236</f>
        <v>10380.399999999998</v>
      </c>
      <c r="I238" s="806">
        <f t="shared" ref="I238:J238" si="427">I234*0.6</f>
        <v>7330.3994678571435</v>
      </c>
      <c r="J238" s="806">
        <f t="shared" si="427"/>
        <v>14838.162066000001</v>
      </c>
      <c r="K238" s="776">
        <f t="shared" si="418"/>
        <v>2785138.9975338574</v>
      </c>
      <c r="L238" s="776">
        <f t="shared" si="419"/>
        <v>417770.84963007859</v>
      </c>
      <c r="M238" s="776">
        <f t="shared" si="420"/>
        <v>3202909.8471639361</v>
      </c>
      <c r="N238" s="776">
        <f t="shared" si="421"/>
        <v>2777808.5980660003</v>
      </c>
      <c r="O238" s="776">
        <f t="shared" si="422"/>
        <v>416671.28970990004</v>
      </c>
      <c r="P238" s="776">
        <f t="shared" si="423"/>
        <v>3194479.8877759003</v>
      </c>
      <c r="Q238" s="806">
        <f>NCong!P456</f>
        <v>79169.538461538439</v>
      </c>
    </row>
    <row r="239" spans="1:17" s="769" customFormat="1">
      <c r="A239" s="802"/>
      <c r="B239" s="803" t="s">
        <v>766</v>
      </c>
      <c r="C239" s="804"/>
      <c r="D239" s="805"/>
      <c r="E239" s="806"/>
      <c r="F239" s="806"/>
      <c r="G239" s="806"/>
      <c r="H239" s="806"/>
      <c r="I239" s="806"/>
      <c r="J239" s="806"/>
      <c r="K239" s="807"/>
      <c r="L239" s="807"/>
      <c r="M239" s="807"/>
      <c r="N239" s="807"/>
      <c r="O239" s="807"/>
      <c r="P239" s="807"/>
      <c r="Q239" s="806"/>
    </row>
    <row r="240" spans="1:17" s="769" customFormat="1" ht="14">
      <c r="A240" s="771">
        <v>1</v>
      </c>
      <c r="B240" s="808" t="s">
        <v>248</v>
      </c>
      <c r="C240" s="804" t="s">
        <v>51</v>
      </c>
      <c r="D240" s="801" t="s">
        <v>31</v>
      </c>
      <c r="E240" s="783"/>
      <c r="F240" s="783"/>
      <c r="G240" s="783"/>
      <c r="H240" s="783"/>
      <c r="I240" s="783"/>
      <c r="J240" s="783"/>
      <c r="K240" s="776"/>
      <c r="L240" s="776"/>
      <c r="M240" s="776"/>
      <c r="N240" s="776"/>
      <c r="O240" s="776"/>
      <c r="P240" s="776"/>
      <c r="Q240" s="783"/>
    </row>
    <row r="241" spans="1:17" s="769" customFormat="1">
      <c r="A241" s="771">
        <v>1.1000000000000001</v>
      </c>
      <c r="B241" s="808" t="s">
        <v>771</v>
      </c>
      <c r="C241" s="804"/>
      <c r="D241" s="801"/>
      <c r="E241" s="783"/>
      <c r="F241" s="783"/>
      <c r="G241" s="783"/>
      <c r="H241" s="783"/>
      <c r="I241" s="783"/>
      <c r="J241" s="783"/>
      <c r="K241" s="776"/>
      <c r="L241" s="776"/>
      <c r="M241" s="776"/>
      <c r="N241" s="776"/>
      <c r="O241" s="776"/>
      <c r="P241" s="776"/>
      <c r="Q241" s="783"/>
    </row>
    <row r="242" spans="1:17" s="769" customFormat="1">
      <c r="A242" s="809" t="s">
        <v>767</v>
      </c>
      <c r="B242" s="810" t="s">
        <v>768</v>
      </c>
      <c r="C242" s="804" t="s">
        <v>51</v>
      </c>
      <c r="D242" s="801" t="s">
        <v>31</v>
      </c>
      <c r="E242" s="783">
        <f>E246</f>
        <v>737074.61519999988</v>
      </c>
      <c r="F242" s="783"/>
      <c r="G242" s="783">
        <f>G232</f>
        <v>15756.390384615384</v>
      </c>
      <c r="H242" s="783">
        <f t="shared" ref="H242:J242" si="428">H232</f>
        <v>31754</v>
      </c>
      <c r="I242" s="783">
        <f t="shared" si="428"/>
        <v>9397.9480357142857</v>
      </c>
      <c r="J242" s="783">
        <f t="shared" si="428"/>
        <v>19023.2847</v>
      </c>
      <c r="K242" s="776">
        <f t="shared" ref="K242:K244" si="429">SUM(E242:J242)</f>
        <v>813006.23832032958</v>
      </c>
      <c r="L242" s="776">
        <f t="shared" ref="L242:L244" si="430">K242*15%</f>
        <v>121950.93574804944</v>
      </c>
      <c r="M242" s="776">
        <f t="shared" ref="M242:M244" si="431">K242+L242</f>
        <v>934957.17406837898</v>
      </c>
      <c r="N242" s="776">
        <f t="shared" ref="N242:N244" si="432">K242-I242</f>
        <v>803608.29028461524</v>
      </c>
      <c r="O242" s="776">
        <f t="shared" ref="O242:O244" si="433">$L$6*N242</f>
        <v>120541.24354269227</v>
      </c>
      <c r="P242" s="776">
        <f t="shared" ref="P242:P244" si="434">N242+O242</f>
        <v>924149.53382730752</v>
      </c>
      <c r="Q242" s="783">
        <f>NCong!P511</f>
        <v>22751.784</v>
      </c>
    </row>
    <row r="243" spans="1:17" s="769" customFormat="1">
      <c r="A243" s="809" t="s">
        <v>767</v>
      </c>
      <c r="B243" s="810" t="s">
        <v>769</v>
      </c>
      <c r="C243" s="804" t="s">
        <v>51</v>
      </c>
      <c r="D243" s="801" t="s">
        <v>31</v>
      </c>
      <c r="E243" s="783">
        <f t="shared" ref="E243:E244" si="435">E247</f>
        <v>934413.74234999984</v>
      </c>
      <c r="F243" s="783"/>
      <c r="G243" s="783">
        <f t="shared" ref="G243:J243" si="436">G233</f>
        <v>15756.390384615384</v>
      </c>
      <c r="H243" s="783">
        <f t="shared" si="436"/>
        <v>31754</v>
      </c>
      <c r="I243" s="783">
        <f t="shared" si="436"/>
        <v>9397.9480357142857</v>
      </c>
      <c r="J243" s="783">
        <f t="shared" si="436"/>
        <v>19023.2847</v>
      </c>
      <c r="K243" s="776">
        <f t="shared" si="429"/>
        <v>1010345.3654703295</v>
      </c>
      <c r="L243" s="776">
        <f t="shared" si="430"/>
        <v>151551.80482054941</v>
      </c>
      <c r="M243" s="776">
        <f t="shared" si="431"/>
        <v>1161897.170290879</v>
      </c>
      <c r="N243" s="776">
        <f t="shared" si="432"/>
        <v>1000947.4174346152</v>
      </c>
      <c r="O243" s="776">
        <f t="shared" si="433"/>
        <v>150142.11261519228</v>
      </c>
      <c r="P243" s="776">
        <f t="shared" si="434"/>
        <v>1151089.5300498074</v>
      </c>
      <c r="Q243" s="783">
        <f>NCong!Q511</f>
        <v>28931.075461538458</v>
      </c>
    </row>
    <row r="244" spans="1:17" s="769" customFormat="1">
      <c r="A244" s="809" t="s">
        <v>767</v>
      </c>
      <c r="B244" s="810" t="s">
        <v>770</v>
      </c>
      <c r="C244" s="804" t="s">
        <v>51</v>
      </c>
      <c r="D244" s="801" t="s">
        <v>31</v>
      </c>
      <c r="E244" s="783">
        <f t="shared" si="435"/>
        <v>1157879.3952000001</v>
      </c>
      <c r="F244" s="783"/>
      <c r="G244" s="783">
        <f t="shared" ref="G244:J244" si="437">G234</f>
        <v>20483.307499999999</v>
      </c>
      <c r="H244" s="783">
        <f t="shared" si="437"/>
        <v>31754</v>
      </c>
      <c r="I244" s="783">
        <f t="shared" si="437"/>
        <v>12217.332446428572</v>
      </c>
      <c r="J244" s="783">
        <f t="shared" si="437"/>
        <v>24730.270110000001</v>
      </c>
      <c r="K244" s="776">
        <f t="shared" si="429"/>
        <v>1247064.3052564287</v>
      </c>
      <c r="L244" s="776">
        <f t="shared" si="430"/>
        <v>187059.64578846429</v>
      </c>
      <c r="M244" s="776">
        <f t="shared" si="431"/>
        <v>1434123.9510448929</v>
      </c>
      <c r="N244" s="776">
        <f t="shared" si="432"/>
        <v>1234846.9728100002</v>
      </c>
      <c r="O244" s="776">
        <f t="shared" si="433"/>
        <v>185227.04592150002</v>
      </c>
      <c r="P244" s="776">
        <f t="shared" si="434"/>
        <v>1420074.0187315003</v>
      </c>
      <c r="Q244" s="783">
        <f>NCong!R511</f>
        <v>35739.149769230768</v>
      </c>
    </row>
    <row r="245" spans="1:17" s="769" customFormat="1">
      <c r="A245" s="771">
        <v>1.2</v>
      </c>
      <c r="B245" s="808" t="s">
        <v>772</v>
      </c>
      <c r="C245" s="804"/>
      <c r="D245" s="801"/>
      <c r="E245" s="783"/>
      <c r="F245" s="783"/>
      <c r="G245" s="783"/>
      <c r="H245" s="783"/>
      <c r="I245" s="783"/>
      <c r="J245" s="783"/>
      <c r="K245" s="776"/>
      <c r="L245" s="776"/>
      <c r="M245" s="776"/>
      <c r="N245" s="776"/>
      <c r="O245" s="776"/>
      <c r="P245" s="776"/>
      <c r="Q245" s="783"/>
    </row>
    <row r="246" spans="1:17" s="769" customFormat="1">
      <c r="A246" s="809" t="s">
        <v>767</v>
      </c>
      <c r="B246" s="810" t="s">
        <v>768</v>
      </c>
      <c r="C246" s="804" t="s">
        <v>51</v>
      </c>
      <c r="D246" s="801" t="s">
        <v>31</v>
      </c>
      <c r="E246" s="783">
        <f>NCong!M511</f>
        <v>737074.61519999988</v>
      </c>
      <c r="F246" s="783"/>
      <c r="G246" s="783">
        <f>G232*0.6</f>
        <v>9453.834230769231</v>
      </c>
      <c r="H246" s="783">
        <f>H232*0.6-VLieu!$J$166</f>
        <v>10380.399999999998</v>
      </c>
      <c r="I246" s="783">
        <f t="shared" ref="I246:J248" si="438">I232*0.6</f>
        <v>5638.7688214285708</v>
      </c>
      <c r="J246" s="783">
        <f t="shared" si="438"/>
        <v>11413.97082</v>
      </c>
      <c r="K246" s="776">
        <f t="shared" ref="K246:K248" si="439">SUM(E246:J246)</f>
        <v>773961.58907219768</v>
      </c>
      <c r="L246" s="776">
        <f t="shared" ref="L246:L248" si="440">K246*15%</f>
        <v>116094.23836082965</v>
      </c>
      <c r="M246" s="776">
        <f t="shared" ref="M246:M248" si="441">K246+L246</f>
        <v>890055.82743302733</v>
      </c>
      <c r="N246" s="776">
        <f t="shared" ref="N246:N248" si="442">K246-I246</f>
        <v>768322.82025076915</v>
      </c>
      <c r="O246" s="776">
        <f t="shared" ref="O246:O248" si="443">$L$6*N246</f>
        <v>115248.42303761537</v>
      </c>
      <c r="P246" s="776">
        <f t="shared" ref="P246:P248" si="444">N246+O246</f>
        <v>883571.24328838452</v>
      </c>
      <c r="Q246" s="783">
        <f>Q242</f>
        <v>22751.784</v>
      </c>
    </row>
    <row r="247" spans="1:17" s="769" customFormat="1">
      <c r="A247" s="809" t="s">
        <v>767</v>
      </c>
      <c r="B247" s="810" t="s">
        <v>769</v>
      </c>
      <c r="C247" s="804" t="s">
        <v>51</v>
      </c>
      <c r="D247" s="801" t="s">
        <v>31</v>
      </c>
      <c r="E247" s="783">
        <f>NCong!N511</f>
        <v>934413.74234999984</v>
      </c>
      <c r="F247" s="783"/>
      <c r="G247" s="783">
        <f>G233*0.6</f>
        <v>9453.834230769231</v>
      </c>
      <c r="H247" s="783">
        <f>H233*0.6-VLieu!$J$166</f>
        <v>10380.399999999998</v>
      </c>
      <c r="I247" s="783">
        <f t="shared" si="438"/>
        <v>5638.7688214285708</v>
      </c>
      <c r="J247" s="783">
        <f t="shared" si="438"/>
        <v>11413.97082</v>
      </c>
      <c r="K247" s="776">
        <f t="shared" si="439"/>
        <v>971300.71622219763</v>
      </c>
      <c r="L247" s="776">
        <f t="shared" si="440"/>
        <v>145695.10743332963</v>
      </c>
      <c r="M247" s="776">
        <f t="shared" si="441"/>
        <v>1116995.8236555273</v>
      </c>
      <c r="N247" s="776">
        <f t="shared" si="442"/>
        <v>965661.9474007691</v>
      </c>
      <c r="O247" s="776">
        <f t="shared" si="443"/>
        <v>144849.29211011535</v>
      </c>
      <c r="P247" s="776">
        <f t="shared" si="444"/>
        <v>1110511.2395108845</v>
      </c>
      <c r="Q247" s="783">
        <f t="shared" ref="Q247:Q248" si="445">Q243</f>
        <v>28931.075461538458</v>
      </c>
    </row>
    <row r="248" spans="1:17" s="769" customFormat="1">
      <c r="A248" s="809" t="s">
        <v>767</v>
      </c>
      <c r="B248" s="810" t="s">
        <v>770</v>
      </c>
      <c r="C248" s="804" t="s">
        <v>51</v>
      </c>
      <c r="D248" s="801" t="s">
        <v>31</v>
      </c>
      <c r="E248" s="783">
        <f>NCong!O511</f>
        <v>1157879.3952000001</v>
      </c>
      <c r="F248" s="783"/>
      <c r="G248" s="783">
        <f>G234*0.6</f>
        <v>12289.984499999999</v>
      </c>
      <c r="H248" s="783">
        <f>H234*0.6-VLieu!$J$166</f>
        <v>10380.399999999998</v>
      </c>
      <c r="I248" s="783">
        <f t="shared" si="438"/>
        <v>7330.3994678571435</v>
      </c>
      <c r="J248" s="783">
        <f t="shared" si="438"/>
        <v>14838.162066000001</v>
      </c>
      <c r="K248" s="776">
        <f t="shared" si="439"/>
        <v>1202718.3412338572</v>
      </c>
      <c r="L248" s="776">
        <f t="shared" si="440"/>
        <v>180407.75118507858</v>
      </c>
      <c r="M248" s="776">
        <f t="shared" si="441"/>
        <v>1383126.0924189358</v>
      </c>
      <c r="N248" s="776">
        <f t="shared" si="442"/>
        <v>1195387.9417660001</v>
      </c>
      <c r="O248" s="776">
        <f t="shared" si="443"/>
        <v>179308.1912649</v>
      </c>
      <c r="P248" s="776">
        <f t="shared" si="444"/>
        <v>1374696.1330309</v>
      </c>
      <c r="Q248" s="783">
        <f t="shared" si="445"/>
        <v>35739.149769230768</v>
      </c>
    </row>
    <row r="249" spans="1:17" s="769" customFormat="1" ht="14">
      <c r="A249" s="771">
        <v>2</v>
      </c>
      <c r="B249" s="808" t="s">
        <v>249</v>
      </c>
      <c r="C249" s="804" t="s">
        <v>51</v>
      </c>
      <c r="D249" s="801" t="s">
        <v>31</v>
      </c>
      <c r="E249" s="783"/>
      <c r="F249" s="783"/>
      <c r="G249" s="783"/>
      <c r="H249" s="783"/>
      <c r="I249" s="783"/>
      <c r="J249" s="783"/>
      <c r="K249" s="776"/>
      <c r="L249" s="776"/>
      <c r="M249" s="776"/>
      <c r="N249" s="776"/>
      <c r="O249" s="776"/>
      <c r="P249" s="776"/>
      <c r="Q249" s="783"/>
    </row>
    <row r="250" spans="1:17" s="769" customFormat="1">
      <c r="A250" s="771">
        <v>2.1</v>
      </c>
      <c r="B250" s="808" t="s">
        <v>771</v>
      </c>
      <c r="C250" s="804"/>
      <c r="D250" s="801"/>
      <c r="E250" s="783"/>
      <c r="F250" s="783"/>
      <c r="G250" s="783"/>
      <c r="H250" s="783"/>
      <c r="I250" s="783"/>
      <c r="J250" s="783"/>
      <c r="K250" s="776"/>
      <c r="L250" s="776"/>
      <c r="M250" s="776"/>
      <c r="N250" s="776"/>
      <c r="O250" s="776"/>
      <c r="P250" s="776"/>
      <c r="Q250" s="783"/>
    </row>
    <row r="251" spans="1:17" s="769" customFormat="1">
      <c r="A251" s="809" t="s">
        <v>767</v>
      </c>
      <c r="B251" s="810" t="s">
        <v>768</v>
      </c>
      <c r="C251" s="804" t="s">
        <v>51</v>
      </c>
      <c r="D251" s="801" t="s">
        <v>31</v>
      </c>
      <c r="E251" s="783">
        <f>E255</f>
        <v>734346.16199999989</v>
      </c>
      <c r="F251" s="783"/>
      <c r="G251" s="783">
        <f>G232</f>
        <v>15756.390384615384</v>
      </c>
      <c r="H251" s="783">
        <f t="shared" ref="H251:J251" si="446">H232</f>
        <v>31754</v>
      </c>
      <c r="I251" s="783">
        <f t="shared" si="446"/>
        <v>9397.9480357142857</v>
      </c>
      <c r="J251" s="783">
        <f t="shared" si="446"/>
        <v>19023.2847</v>
      </c>
      <c r="K251" s="776">
        <f t="shared" ref="K251:K253" si="447">SUM(E251:J251)</f>
        <v>810277.78512032959</v>
      </c>
      <c r="L251" s="776">
        <f t="shared" ref="L251:L253" si="448">K251*15%</f>
        <v>121541.66776804943</v>
      </c>
      <c r="M251" s="776">
        <f t="shared" ref="M251:M253" si="449">K251+L251</f>
        <v>931819.45288837899</v>
      </c>
      <c r="N251" s="776">
        <f t="shared" ref="N251:N253" si="450">K251-I251</f>
        <v>800879.83708461525</v>
      </c>
      <c r="O251" s="776">
        <f t="shared" ref="O251:O253" si="451">$L$6*N251</f>
        <v>120131.97556269229</v>
      </c>
      <c r="P251" s="776">
        <f t="shared" ref="P251:P253" si="452">N251+O251</f>
        <v>921011.81264730752</v>
      </c>
      <c r="Q251" s="783">
        <f>NCong!P512</f>
        <v>22678.141538461536</v>
      </c>
    </row>
    <row r="252" spans="1:17" s="769" customFormat="1">
      <c r="A252" s="809" t="s">
        <v>767</v>
      </c>
      <c r="B252" s="810" t="s">
        <v>769</v>
      </c>
      <c r="C252" s="804" t="s">
        <v>51</v>
      </c>
      <c r="D252" s="801" t="s">
        <v>31</v>
      </c>
      <c r="E252" s="783">
        <f t="shared" ref="E252:E253" si="453">E256</f>
        <v>930646.61662499979</v>
      </c>
      <c r="F252" s="783"/>
      <c r="G252" s="783">
        <f t="shared" ref="G252:J253" si="454">G233</f>
        <v>15756.390384615384</v>
      </c>
      <c r="H252" s="783">
        <f t="shared" si="454"/>
        <v>31754</v>
      </c>
      <c r="I252" s="783">
        <f t="shared" si="454"/>
        <v>9397.9480357142857</v>
      </c>
      <c r="J252" s="783">
        <f t="shared" si="454"/>
        <v>19023.2847</v>
      </c>
      <c r="K252" s="776">
        <f t="shared" si="447"/>
        <v>1006578.2397453295</v>
      </c>
      <c r="L252" s="776">
        <f t="shared" si="448"/>
        <v>150986.73596179942</v>
      </c>
      <c r="M252" s="776">
        <f t="shared" si="449"/>
        <v>1157564.9757071289</v>
      </c>
      <c r="N252" s="776">
        <f t="shared" si="450"/>
        <v>997180.29170961515</v>
      </c>
      <c r="O252" s="776">
        <f t="shared" si="451"/>
        <v>149577.04375644226</v>
      </c>
      <c r="P252" s="776">
        <f t="shared" si="452"/>
        <v>1146757.3354660575</v>
      </c>
      <c r="Q252" s="783">
        <f>NCong!Q512</f>
        <v>28829.39865384615</v>
      </c>
    </row>
    <row r="253" spans="1:17" s="769" customFormat="1">
      <c r="A253" s="809" t="s">
        <v>767</v>
      </c>
      <c r="B253" s="810" t="s">
        <v>770</v>
      </c>
      <c r="C253" s="804" t="s">
        <v>51</v>
      </c>
      <c r="D253" s="801" t="s">
        <v>31</v>
      </c>
      <c r="E253" s="783">
        <f t="shared" si="453"/>
        <v>1151042.7596249999</v>
      </c>
      <c r="F253" s="783"/>
      <c r="G253" s="783">
        <f t="shared" si="454"/>
        <v>20483.307499999999</v>
      </c>
      <c r="H253" s="783">
        <f t="shared" si="454"/>
        <v>31754</v>
      </c>
      <c r="I253" s="783">
        <f t="shared" si="454"/>
        <v>12217.332446428572</v>
      </c>
      <c r="J253" s="783">
        <f t="shared" si="454"/>
        <v>24730.270110000001</v>
      </c>
      <c r="K253" s="776">
        <f t="shared" si="447"/>
        <v>1240227.6696814285</v>
      </c>
      <c r="L253" s="776">
        <f t="shared" si="448"/>
        <v>186034.15045221426</v>
      </c>
      <c r="M253" s="776">
        <f t="shared" si="449"/>
        <v>1426261.8201336428</v>
      </c>
      <c r="N253" s="776">
        <f t="shared" si="450"/>
        <v>1228010.337235</v>
      </c>
      <c r="O253" s="776">
        <f t="shared" si="451"/>
        <v>184201.55058524999</v>
      </c>
      <c r="P253" s="776">
        <f t="shared" si="452"/>
        <v>1412211.8878202499</v>
      </c>
      <c r="Q253" s="783">
        <f>NCong!R512</f>
        <v>35554.625192307692</v>
      </c>
    </row>
    <row r="254" spans="1:17" s="769" customFormat="1">
      <c r="A254" s="771">
        <v>2.2000000000000002</v>
      </c>
      <c r="B254" s="808" t="s">
        <v>772</v>
      </c>
      <c r="C254" s="804"/>
      <c r="D254" s="801"/>
      <c r="E254" s="783"/>
      <c r="F254" s="783"/>
      <c r="G254" s="783"/>
      <c r="H254" s="783"/>
      <c r="I254" s="783"/>
      <c r="J254" s="783"/>
      <c r="K254" s="776"/>
      <c r="L254" s="776"/>
      <c r="M254" s="776"/>
      <c r="N254" s="776"/>
      <c r="O254" s="776"/>
      <c r="P254" s="776"/>
      <c r="Q254" s="783"/>
    </row>
    <row r="255" spans="1:17" s="769" customFormat="1">
      <c r="A255" s="809" t="s">
        <v>767</v>
      </c>
      <c r="B255" s="810" t="s">
        <v>768</v>
      </c>
      <c r="C255" s="804" t="s">
        <v>51</v>
      </c>
      <c r="D255" s="801" t="s">
        <v>31</v>
      </c>
      <c r="E255" s="783">
        <f>NCong!M512</f>
        <v>734346.16199999989</v>
      </c>
      <c r="F255" s="783"/>
      <c r="G255" s="783">
        <f>G246</f>
        <v>9453.834230769231</v>
      </c>
      <c r="H255" s="783">
        <f t="shared" ref="H255:J255" si="455">H246</f>
        <v>10380.399999999998</v>
      </c>
      <c r="I255" s="783">
        <f t="shared" si="455"/>
        <v>5638.7688214285708</v>
      </c>
      <c r="J255" s="783">
        <f t="shared" si="455"/>
        <v>11413.97082</v>
      </c>
      <c r="K255" s="776">
        <f t="shared" ref="K255:K257" si="456">SUM(E255:J255)</f>
        <v>771233.13587219769</v>
      </c>
      <c r="L255" s="776">
        <f t="shared" ref="L255:L257" si="457">K255*15%</f>
        <v>115684.97038082965</v>
      </c>
      <c r="M255" s="776">
        <f t="shared" ref="M255:M257" si="458">K255+L255</f>
        <v>886918.10625302733</v>
      </c>
      <c r="N255" s="776">
        <f t="shared" ref="N255:N257" si="459">K255-I255</f>
        <v>765594.36705076916</v>
      </c>
      <c r="O255" s="776">
        <f t="shared" ref="O255:O257" si="460">$L$6*N255</f>
        <v>114839.15505761537</v>
      </c>
      <c r="P255" s="776">
        <f t="shared" ref="P255:P257" si="461">N255+O255</f>
        <v>880433.52210838452</v>
      </c>
      <c r="Q255" s="783">
        <f>Q251</f>
        <v>22678.141538461536</v>
      </c>
    </row>
    <row r="256" spans="1:17" s="769" customFormat="1">
      <c r="A256" s="809" t="s">
        <v>767</v>
      </c>
      <c r="B256" s="810" t="s">
        <v>769</v>
      </c>
      <c r="C256" s="804" t="s">
        <v>51</v>
      </c>
      <c r="D256" s="801" t="s">
        <v>31</v>
      </c>
      <c r="E256" s="783">
        <f>NCong!N512</f>
        <v>930646.61662499979</v>
      </c>
      <c r="F256" s="783"/>
      <c r="G256" s="783">
        <f t="shared" ref="G256:J256" si="462">G247</f>
        <v>9453.834230769231</v>
      </c>
      <c r="H256" s="783">
        <f t="shared" si="462"/>
        <v>10380.399999999998</v>
      </c>
      <c r="I256" s="783">
        <f t="shared" si="462"/>
        <v>5638.7688214285708</v>
      </c>
      <c r="J256" s="783">
        <f t="shared" si="462"/>
        <v>11413.97082</v>
      </c>
      <c r="K256" s="776">
        <f t="shared" si="456"/>
        <v>967533.59049719758</v>
      </c>
      <c r="L256" s="776">
        <f t="shared" si="457"/>
        <v>145130.03857457964</v>
      </c>
      <c r="M256" s="776">
        <f t="shared" si="458"/>
        <v>1112663.6290717772</v>
      </c>
      <c r="N256" s="776">
        <f t="shared" si="459"/>
        <v>961894.82167576905</v>
      </c>
      <c r="O256" s="776">
        <f t="shared" si="460"/>
        <v>144284.22325136536</v>
      </c>
      <c r="P256" s="776">
        <f t="shared" si="461"/>
        <v>1106179.0449271344</v>
      </c>
      <c r="Q256" s="783">
        <f t="shared" ref="Q256:Q257" si="463">Q252</f>
        <v>28829.39865384615</v>
      </c>
    </row>
    <row r="257" spans="1:17" s="769" customFormat="1">
      <c r="A257" s="809" t="s">
        <v>767</v>
      </c>
      <c r="B257" s="810" t="s">
        <v>770</v>
      </c>
      <c r="C257" s="804" t="s">
        <v>51</v>
      </c>
      <c r="D257" s="801" t="s">
        <v>31</v>
      </c>
      <c r="E257" s="783">
        <f>NCong!O512</f>
        <v>1151042.7596249999</v>
      </c>
      <c r="F257" s="783"/>
      <c r="G257" s="783">
        <f t="shared" ref="G257:J257" si="464">G248</f>
        <v>12289.984499999999</v>
      </c>
      <c r="H257" s="783">
        <f t="shared" si="464"/>
        <v>10380.399999999998</v>
      </c>
      <c r="I257" s="783">
        <f t="shared" si="464"/>
        <v>7330.3994678571435</v>
      </c>
      <c r="J257" s="783">
        <f t="shared" si="464"/>
        <v>14838.162066000001</v>
      </c>
      <c r="K257" s="776">
        <f t="shared" si="456"/>
        <v>1195881.705658857</v>
      </c>
      <c r="L257" s="776">
        <f t="shared" si="457"/>
        <v>179382.25584882856</v>
      </c>
      <c r="M257" s="776">
        <f t="shared" si="458"/>
        <v>1375263.9615076855</v>
      </c>
      <c r="N257" s="776">
        <f t="shared" si="459"/>
        <v>1188551.3061909999</v>
      </c>
      <c r="O257" s="776">
        <f t="shared" si="460"/>
        <v>178282.69592864998</v>
      </c>
      <c r="P257" s="776">
        <f t="shared" si="461"/>
        <v>1366834.0021196499</v>
      </c>
      <c r="Q257" s="783">
        <f t="shared" si="463"/>
        <v>35554.625192307692</v>
      </c>
    </row>
    <row r="258" spans="1:17" s="769" customFormat="1">
      <c r="A258" s="771">
        <v>3</v>
      </c>
      <c r="B258" s="808" t="s">
        <v>250</v>
      </c>
      <c r="C258" s="804" t="s">
        <v>51</v>
      </c>
      <c r="D258" s="801" t="s">
        <v>31</v>
      </c>
      <c r="E258" s="783"/>
      <c r="F258" s="783"/>
      <c r="G258" s="783"/>
      <c r="H258" s="783"/>
      <c r="I258" s="783"/>
      <c r="J258" s="783"/>
      <c r="K258" s="776"/>
      <c r="L258" s="776"/>
      <c r="M258" s="776"/>
      <c r="N258" s="776"/>
      <c r="O258" s="776"/>
      <c r="P258" s="776"/>
      <c r="Q258" s="783"/>
    </row>
    <row r="259" spans="1:17" s="769" customFormat="1">
      <c r="A259" s="811">
        <v>3.1</v>
      </c>
      <c r="B259" s="808" t="s">
        <v>771</v>
      </c>
      <c r="C259" s="804" t="s">
        <v>51</v>
      </c>
      <c r="D259" s="801" t="s">
        <v>31</v>
      </c>
      <c r="E259" s="783"/>
      <c r="F259" s="783"/>
      <c r="G259" s="783"/>
      <c r="H259" s="783"/>
      <c r="I259" s="783"/>
      <c r="J259" s="783"/>
      <c r="K259" s="776"/>
      <c r="L259" s="776"/>
      <c r="M259" s="776"/>
      <c r="N259" s="776"/>
      <c r="O259" s="776"/>
      <c r="P259" s="776"/>
      <c r="Q259" s="783"/>
    </row>
    <row r="260" spans="1:17" s="769" customFormat="1">
      <c r="A260" s="809" t="s">
        <v>767</v>
      </c>
      <c r="B260" s="810" t="s">
        <v>768</v>
      </c>
      <c r="C260" s="804" t="s">
        <v>51</v>
      </c>
      <c r="D260" s="801" t="s">
        <v>31</v>
      </c>
      <c r="E260" s="783">
        <f>NCong!M513</f>
        <v>731036.54249999986</v>
      </c>
      <c r="F260" s="783"/>
      <c r="G260" s="783">
        <f t="shared" ref="G260:J262" si="465">G232</f>
        <v>15756.390384615384</v>
      </c>
      <c r="H260" s="783">
        <f t="shared" si="465"/>
        <v>31754</v>
      </c>
      <c r="I260" s="783">
        <f t="shared" si="465"/>
        <v>9397.9480357142857</v>
      </c>
      <c r="J260" s="783">
        <f t="shared" si="465"/>
        <v>19023.2847</v>
      </c>
      <c r="K260" s="776">
        <f t="shared" ref="K260:K262" si="466">SUM(E260:J260)</f>
        <v>806968.16562032956</v>
      </c>
      <c r="L260" s="776">
        <f t="shared" ref="L260:L262" si="467">K260*15%</f>
        <v>121045.22484304942</v>
      </c>
      <c r="M260" s="776">
        <f t="shared" ref="M260:M262" si="468">K260+L260</f>
        <v>928013.39046337898</v>
      </c>
      <c r="N260" s="776">
        <f t="shared" ref="N260:N262" si="469">K260-I260</f>
        <v>797570.21758461522</v>
      </c>
      <c r="O260" s="776">
        <f t="shared" ref="O260:O262" si="470">$L$6*N260</f>
        <v>119635.53263769227</v>
      </c>
      <c r="P260" s="776">
        <f t="shared" ref="P260:P262" si="471">N260+O260</f>
        <v>917205.75022230751</v>
      </c>
      <c r="Q260" s="783">
        <f>NCong!P513</f>
        <v>22642.332307692304</v>
      </c>
    </row>
    <row r="261" spans="1:17" s="769" customFormat="1">
      <c r="A261" s="809" t="s">
        <v>767</v>
      </c>
      <c r="B261" s="810" t="s">
        <v>769</v>
      </c>
      <c r="C261" s="804" t="s">
        <v>51</v>
      </c>
      <c r="D261" s="801" t="s">
        <v>31</v>
      </c>
      <c r="E261" s="783">
        <f>NCong!N513</f>
        <v>903926.30624999979</v>
      </c>
      <c r="F261" s="783"/>
      <c r="G261" s="783">
        <f t="shared" si="465"/>
        <v>15756.390384615384</v>
      </c>
      <c r="H261" s="783">
        <f t="shared" si="465"/>
        <v>31754</v>
      </c>
      <c r="I261" s="783">
        <f t="shared" si="465"/>
        <v>9397.9480357142857</v>
      </c>
      <c r="J261" s="783">
        <f t="shared" si="465"/>
        <v>19023.2847</v>
      </c>
      <c r="K261" s="776">
        <f t="shared" si="466"/>
        <v>979857.92937032948</v>
      </c>
      <c r="L261" s="776">
        <f t="shared" si="467"/>
        <v>146978.6894055494</v>
      </c>
      <c r="M261" s="776">
        <f t="shared" si="468"/>
        <v>1126836.6187758788</v>
      </c>
      <c r="N261" s="776">
        <f t="shared" si="469"/>
        <v>970459.98133461515</v>
      </c>
      <c r="O261" s="776">
        <f t="shared" si="470"/>
        <v>145568.99720019227</v>
      </c>
      <c r="P261" s="776">
        <f t="shared" si="471"/>
        <v>1116028.9785348075</v>
      </c>
      <c r="Q261" s="783">
        <f>NCong!Q513</f>
        <v>28108.202692307688</v>
      </c>
    </row>
    <row r="262" spans="1:17" s="769" customFormat="1">
      <c r="A262" s="809" t="s">
        <v>767</v>
      </c>
      <c r="B262" s="810" t="s">
        <v>770</v>
      </c>
      <c r="C262" s="804" t="s">
        <v>51</v>
      </c>
      <c r="D262" s="801" t="s">
        <v>31</v>
      </c>
      <c r="E262" s="783">
        <f>NCong!O513</f>
        <v>1118593.7070000002</v>
      </c>
      <c r="F262" s="783"/>
      <c r="G262" s="783">
        <f t="shared" si="465"/>
        <v>20483.307499999999</v>
      </c>
      <c r="H262" s="783">
        <f t="shared" si="465"/>
        <v>31754</v>
      </c>
      <c r="I262" s="783">
        <f t="shared" si="465"/>
        <v>12217.332446428572</v>
      </c>
      <c r="J262" s="783">
        <f t="shared" si="465"/>
        <v>24730.270110000001</v>
      </c>
      <c r="K262" s="776">
        <f t="shared" si="466"/>
        <v>1207778.6170564287</v>
      </c>
      <c r="L262" s="776">
        <f t="shared" si="467"/>
        <v>181166.79255846431</v>
      </c>
      <c r="M262" s="776">
        <f t="shared" si="468"/>
        <v>1388945.4096148929</v>
      </c>
      <c r="N262" s="776">
        <f t="shared" si="469"/>
        <v>1195561.2846100002</v>
      </c>
      <c r="O262" s="776">
        <f t="shared" si="470"/>
        <v>179334.19269150004</v>
      </c>
      <c r="P262" s="776">
        <f t="shared" si="471"/>
        <v>1374895.4773015003</v>
      </c>
      <c r="Q262" s="783">
        <f>NCong!R513</f>
        <v>34732.32653846153</v>
      </c>
    </row>
    <row r="263" spans="1:17" s="769" customFormat="1">
      <c r="A263" s="811">
        <v>3.2</v>
      </c>
      <c r="B263" s="808" t="s">
        <v>772</v>
      </c>
      <c r="C263" s="804" t="s">
        <v>51</v>
      </c>
      <c r="D263" s="801" t="s">
        <v>31</v>
      </c>
      <c r="E263" s="783"/>
      <c r="F263" s="783"/>
      <c r="G263" s="783"/>
      <c r="H263" s="783"/>
      <c r="I263" s="783"/>
      <c r="J263" s="783"/>
      <c r="K263" s="776"/>
      <c r="L263" s="776"/>
      <c r="M263" s="776"/>
      <c r="N263" s="776"/>
      <c r="O263" s="776"/>
      <c r="P263" s="776"/>
      <c r="Q263" s="783"/>
    </row>
    <row r="264" spans="1:17" s="769" customFormat="1">
      <c r="A264" s="809" t="s">
        <v>767</v>
      </c>
      <c r="B264" s="810" t="s">
        <v>768</v>
      </c>
      <c r="C264" s="804" t="s">
        <v>51</v>
      </c>
      <c r="D264" s="801" t="s">
        <v>31</v>
      </c>
      <c r="E264" s="783">
        <f>E260</f>
        <v>731036.54249999986</v>
      </c>
      <c r="F264" s="783"/>
      <c r="G264" s="783">
        <f>G255</f>
        <v>9453.834230769231</v>
      </c>
      <c r="H264" s="783">
        <f t="shared" ref="H264:J264" si="472">H255</f>
        <v>10380.399999999998</v>
      </c>
      <c r="I264" s="783">
        <f t="shared" si="472"/>
        <v>5638.7688214285708</v>
      </c>
      <c r="J264" s="783">
        <f t="shared" si="472"/>
        <v>11413.97082</v>
      </c>
      <c r="K264" s="776">
        <f t="shared" ref="K264:K266" si="473">SUM(E264:J264)</f>
        <v>767923.51637219766</v>
      </c>
      <c r="L264" s="776">
        <f t="shared" ref="L264:L266" si="474">K264*15%</f>
        <v>115188.52745582965</v>
      </c>
      <c r="M264" s="776">
        <f t="shared" ref="M264:M266" si="475">K264+L264</f>
        <v>883112.04382802732</v>
      </c>
      <c r="N264" s="776">
        <f t="shared" ref="N264:N266" si="476">K264-I264</f>
        <v>762284.74755076913</v>
      </c>
      <c r="O264" s="776">
        <f t="shared" ref="O264:O266" si="477">$L$6*N264</f>
        <v>114342.71213261537</v>
      </c>
      <c r="P264" s="776">
        <f t="shared" ref="P264:P266" si="478">N264+O264</f>
        <v>876627.45968338451</v>
      </c>
      <c r="Q264" s="783">
        <f>Q260</f>
        <v>22642.332307692304</v>
      </c>
    </row>
    <row r="265" spans="1:17" s="769" customFormat="1">
      <c r="A265" s="809" t="s">
        <v>767</v>
      </c>
      <c r="B265" s="810" t="s">
        <v>769</v>
      </c>
      <c r="C265" s="804" t="s">
        <v>51</v>
      </c>
      <c r="D265" s="801" t="s">
        <v>31</v>
      </c>
      <c r="E265" s="783">
        <f t="shared" ref="E265:E266" si="479">E261</f>
        <v>903926.30624999979</v>
      </c>
      <c r="F265" s="783"/>
      <c r="G265" s="783">
        <f t="shared" ref="G265:J265" si="480">G256</f>
        <v>9453.834230769231</v>
      </c>
      <c r="H265" s="783">
        <f t="shared" si="480"/>
        <v>10380.399999999998</v>
      </c>
      <c r="I265" s="783">
        <f t="shared" si="480"/>
        <v>5638.7688214285708</v>
      </c>
      <c r="J265" s="783">
        <f t="shared" si="480"/>
        <v>11413.97082</v>
      </c>
      <c r="K265" s="776">
        <f t="shared" si="473"/>
        <v>940813.28012219758</v>
      </c>
      <c r="L265" s="776">
        <f t="shared" si="474"/>
        <v>141121.99201832962</v>
      </c>
      <c r="M265" s="776">
        <f t="shared" si="475"/>
        <v>1081935.2721405271</v>
      </c>
      <c r="N265" s="776">
        <f t="shared" si="476"/>
        <v>935174.51130076905</v>
      </c>
      <c r="O265" s="776">
        <f t="shared" si="477"/>
        <v>140276.17669511534</v>
      </c>
      <c r="P265" s="776">
        <f t="shared" si="478"/>
        <v>1075450.6879958843</v>
      </c>
      <c r="Q265" s="783">
        <f t="shared" ref="Q265:Q266" si="481">Q261</f>
        <v>28108.202692307688</v>
      </c>
    </row>
    <row r="266" spans="1:17" s="769" customFormat="1">
      <c r="A266" s="809" t="s">
        <v>767</v>
      </c>
      <c r="B266" s="810" t="s">
        <v>770</v>
      </c>
      <c r="C266" s="804" t="s">
        <v>51</v>
      </c>
      <c r="D266" s="801" t="s">
        <v>31</v>
      </c>
      <c r="E266" s="783">
        <f t="shared" si="479"/>
        <v>1118593.7070000002</v>
      </c>
      <c r="F266" s="783"/>
      <c r="G266" s="783">
        <f t="shared" ref="G266:J266" si="482">G257</f>
        <v>12289.984499999999</v>
      </c>
      <c r="H266" s="783">
        <f t="shared" si="482"/>
        <v>10380.399999999998</v>
      </c>
      <c r="I266" s="783">
        <f t="shared" si="482"/>
        <v>7330.3994678571435</v>
      </c>
      <c r="J266" s="783">
        <f t="shared" si="482"/>
        <v>14838.162066000001</v>
      </c>
      <c r="K266" s="776">
        <f t="shared" si="473"/>
        <v>1163432.6530338572</v>
      </c>
      <c r="L266" s="776">
        <f t="shared" si="474"/>
        <v>174514.89795507857</v>
      </c>
      <c r="M266" s="776">
        <f t="shared" si="475"/>
        <v>1337947.5509889359</v>
      </c>
      <c r="N266" s="776">
        <f t="shared" si="476"/>
        <v>1156102.2535660001</v>
      </c>
      <c r="O266" s="776">
        <f t="shared" si="477"/>
        <v>173415.33803490002</v>
      </c>
      <c r="P266" s="776">
        <f t="shared" si="478"/>
        <v>1329517.5916009001</v>
      </c>
      <c r="Q266" s="783">
        <f t="shared" si="481"/>
        <v>34732.32653846153</v>
      </c>
    </row>
    <row r="267" spans="1:17" s="769" customFormat="1" ht="14">
      <c r="A267" s="771">
        <v>4</v>
      </c>
      <c r="B267" s="808" t="s">
        <v>251</v>
      </c>
      <c r="C267" s="804" t="s">
        <v>51</v>
      </c>
      <c r="D267" s="801" t="s">
        <v>31</v>
      </c>
      <c r="E267" s="783"/>
      <c r="F267" s="783"/>
      <c r="G267" s="783"/>
      <c r="H267" s="783"/>
      <c r="I267" s="783"/>
      <c r="J267" s="783"/>
      <c r="K267" s="776"/>
      <c r="L267" s="776"/>
      <c r="M267" s="776"/>
      <c r="N267" s="776"/>
      <c r="O267" s="776"/>
      <c r="P267" s="776"/>
      <c r="Q267" s="783"/>
    </row>
    <row r="268" spans="1:17" s="769" customFormat="1">
      <c r="A268" s="771">
        <v>4.0999999999999996</v>
      </c>
      <c r="B268" s="808" t="s">
        <v>771</v>
      </c>
      <c r="C268" s="804" t="s">
        <v>51</v>
      </c>
      <c r="D268" s="801" t="s">
        <v>31</v>
      </c>
      <c r="E268" s="783"/>
      <c r="F268" s="783"/>
      <c r="G268" s="783"/>
      <c r="H268" s="783"/>
      <c r="I268" s="783"/>
      <c r="J268" s="783"/>
      <c r="K268" s="776"/>
      <c r="L268" s="776"/>
      <c r="M268" s="776"/>
      <c r="N268" s="776"/>
      <c r="O268" s="776"/>
      <c r="P268" s="776"/>
      <c r="Q268" s="783"/>
    </row>
    <row r="269" spans="1:17" s="769" customFormat="1">
      <c r="A269" s="809" t="s">
        <v>767</v>
      </c>
      <c r="B269" s="810" t="s">
        <v>768</v>
      </c>
      <c r="C269" s="804" t="s">
        <v>51</v>
      </c>
      <c r="D269" s="801" t="s">
        <v>31</v>
      </c>
      <c r="E269" s="783">
        <f>NCong!M514</f>
        <v>597668.25029999996</v>
      </c>
      <c r="F269" s="783"/>
      <c r="G269" s="783">
        <f t="shared" ref="G269:J271" si="483">G232</f>
        <v>15756.390384615384</v>
      </c>
      <c r="H269" s="783">
        <f t="shared" si="483"/>
        <v>31754</v>
      </c>
      <c r="I269" s="783">
        <f t="shared" si="483"/>
        <v>9397.9480357142857</v>
      </c>
      <c r="J269" s="783">
        <f t="shared" si="483"/>
        <v>19023.2847</v>
      </c>
      <c r="K269" s="776">
        <f t="shared" ref="K269:K271" si="484">SUM(E269:J269)</f>
        <v>673599.87342032965</v>
      </c>
      <c r="L269" s="776">
        <f t="shared" ref="L269:L271" si="485">K269*15%</f>
        <v>101039.98101304944</v>
      </c>
      <c r="M269" s="776">
        <f t="shared" ref="M269:M271" si="486">K269+L269</f>
        <v>774639.85443337914</v>
      </c>
      <c r="N269" s="776">
        <f t="shared" ref="N269:N271" si="487">K269-I269</f>
        <v>664201.92538461532</v>
      </c>
      <c r="O269" s="776">
        <f t="shared" ref="O269:O271" si="488">$L$6*N269</f>
        <v>99630.288807692297</v>
      </c>
      <c r="P269" s="776">
        <f t="shared" ref="P269:P271" si="489">N269+O269</f>
        <v>763832.21419230755</v>
      </c>
      <c r="Q269" s="783">
        <f>NCong!P514</f>
        <v>18593.086769230766</v>
      </c>
    </row>
    <row r="270" spans="1:17" s="769" customFormat="1">
      <c r="A270" s="809" t="s">
        <v>767</v>
      </c>
      <c r="B270" s="810" t="s">
        <v>769</v>
      </c>
      <c r="C270" s="804" t="s">
        <v>51</v>
      </c>
      <c r="D270" s="801" t="s">
        <v>31</v>
      </c>
      <c r="E270" s="783">
        <f>NCong!N514</f>
        <v>787132.79039999994</v>
      </c>
      <c r="F270" s="783"/>
      <c r="G270" s="783">
        <f t="shared" si="483"/>
        <v>15756.390384615384</v>
      </c>
      <c r="H270" s="783">
        <f t="shared" si="483"/>
        <v>31754</v>
      </c>
      <c r="I270" s="783">
        <f t="shared" si="483"/>
        <v>9397.9480357142857</v>
      </c>
      <c r="J270" s="783">
        <f t="shared" si="483"/>
        <v>19023.2847</v>
      </c>
      <c r="K270" s="776">
        <f t="shared" si="484"/>
        <v>863064.41352032963</v>
      </c>
      <c r="L270" s="776">
        <f t="shared" si="485"/>
        <v>129459.66202804944</v>
      </c>
      <c r="M270" s="776">
        <f t="shared" si="486"/>
        <v>992524.0755483791</v>
      </c>
      <c r="N270" s="776">
        <f t="shared" si="487"/>
        <v>853666.4654846153</v>
      </c>
      <c r="O270" s="776">
        <f t="shared" si="488"/>
        <v>128049.96982269229</v>
      </c>
      <c r="P270" s="776">
        <f t="shared" si="489"/>
        <v>981716.43530730763</v>
      </c>
      <c r="Q270" s="783">
        <f>NCong!Q514</f>
        <v>24559.838769230766</v>
      </c>
    </row>
    <row r="271" spans="1:17" s="769" customFormat="1">
      <c r="A271" s="809" t="s">
        <v>767</v>
      </c>
      <c r="B271" s="810" t="s">
        <v>770</v>
      </c>
      <c r="C271" s="804" t="s">
        <v>51</v>
      </c>
      <c r="D271" s="801" t="s">
        <v>31</v>
      </c>
      <c r="E271" s="783">
        <f>NCong!O514</f>
        <v>963583.09905000008</v>
      </c>
      <c r="F271" s="783"/>
      <c r="G271" s="783">
        <f t="shared" si="483"/>
        <v>20483.307499999999</v>
      </c>
      <c r="H271" s="783">
        <f t="shared" si="483"/>
        <v>31754</v>
      </c>
      <c r="I271" s="783">
        <f t="shared" si="483"/>
        <v>12217.332446428572</v>
      </c>
      <c r="J271" s="783">
        <f t="shared" si="483"/>
        <v>24730.270110000001</v>
      </c>
      <c r="K271" s="776">
        <f t="shared" si="484"/>
        <v>1052768.0091064286</v>
      </c>
      <c r="L271" s="776">
        <f t="shared" si="485"/>
        <v>157915.20136596428</v>
      </c>
      <c r="M271" s="776">
        <f t="shared" si="486"/>
        <v>1210683.2104723928</v>
      </c>
      <c r="N271" s="776">
        <f t="shared" si="487"/>
        <v>1040550.67666</v>
      </c>
      <c r="O271" s="776">
        <f t="shared" si="488"/>
        <v>156082.60149899998</v>
      </c>
      <c r="P271" s="776">
        <f t="shared" si="489"/>
        <v>1196633.278159</v>
      </c>
      <c r="Q271" s="783">
        <f>NCong!R514</f>
        <v>30019.734461538457</v>
      </c>
    </row>
    <row r="272" spans="1:17" s="769" customFormat="1">
      <c r="A272" s="771">
        <v>4.2</v>
      </c>
      <c r="B272" s="808" t="s">
        <v>772</v>
      </c>
      <c r="C272" s="804" t="s">
        <v>51</v>
      </c>
      <c r="D272" s="801" t="s">
        <v>31</v>
      </c>
      <c r="E272" s="783"/>
      <c r="F272" s="783"/>
      <c r="G272" s="783"/>
      <c r="H272" s="783"/>
      <c r="I272" s="783"/>
      <c r="J272" s="783"/>
      <c r="K272" s="776"/>
      <c r="L272" s="776"/>
      <c r="M272" s="776"/>
      <c r="N272" s="776"/>
      <c r="O272" s="776"/>
      <c r="P272" s="776"/>
      <c r="Q272" s="783"/>
    </row>
    <row r="273" spans="1:17" s="769" customFormat="1">
      <c r="A273" s="809" t="s">
        <v>767</v>
      </c>
      <c r="B273" s="810" t="s">
        <v>768</v>
      </c>
      <c r="C273" s="804" t="s">
        <v>51</v>
      </c>
      <c r="D273" s="801" t="s">
        <v>31</v>
      </c>
      <c r="E273" s="783">
        <f>E269</f>
        <v>597668.25029999996</v>
      </c>
      <c r="F273" s="783"/>
      <c r="G273" s="783">
        <f t="shared" ref="G273:J275" si="490">G264</f>
        <v>9453.834230769231</v>
      </c>
      <c r="H273" s="783">
        <f t="shared" si="490"/>
        <v>10380.399999999998</v>
      </c>
      <c r="I273" s="783">
        <f t="shared" si="490"/>
        <v>5638.7688214285708</v>
      </c>
      <c r="J273" s="783">
        <f t="shared" si="490"/>
        <v>11413.97082</v>
      </c>
      <c r="K273" s="776">
        <f t="shared" ref="K273:K275" si="491">SUM(E273:J273)</f>
        <v>634555.22417219775</v>
      </c>
      <c r="L273" s="776">
        <f t="shared" ref="L273:L275" si="492">K273*15%</f>
        <v>95183.283625829659</v>
      </c>
      <c r="M273" s="776">
        <f t="shared" ref="M273:M275" si="493">K273+L273</f>
        <v>729738.50779802736</v>
      </c>
      <c r="N273" s="776">
        <f t="shared" ref="N273:N275" si="494">K273-I273</f>
        <v>628916.45535076922</v>
      </c>
      <c r="O273" s="776">
        <f t="shared" ref="O273:O275" si="495">$L$6*N273</f>
        <v>94337.46830261538</v>
      </c>
      <c r="P273" s="776">
        <f t="shared" ref="P273:P275" si="496">N273+O273</f>
        <v>723253.92365338455</v>
      </c>
      <c r="Q273" s="783">
        <f>Q269</f>
        <v>18593.086769230766</v>
      </c>
    </row>
    <row r="274" spans="1:17" s="769" customFormat="1">
      <c r="A274" s="809" t="s">
        <v>767</v>
      </c>
      <c r="B274" s="810" t="s">
        <v>769</v>
      </c>
      <c r="C274" s="804" t="s">
        <v>51</v>
      </c>
      <c r="D274" s="801" t="s">
        <v>31</v>
      </c>
      <c r="E274" s="783">
        <f t="shared" ref="E274:E275" si="497">E270</f>
        <v>787132.79039999994</v>
      </c>
      <c r="F274" s="783"/>
      <c r="G274" s="783">
        <f t="shared" si="490"/>
        <v>9453.834230769231</v>
      </c>
      <c r="H274" s="783">
        <f t="shared" si="490"/>
        <v>10380.399999999998</v>
      </c>
      <c r="I274" s="783">
        <f t="shared" si="490"/>
        <v>5638.7688214285708</v>
      </c>
      <c r="J274" s="783">
        <f t="shared" si="490"/>
        <v>11413.97082</v>
      </c>
      <c r="K274" s="776">
        <f t="shared" si="491"/>
        <v>824019.76427219773</v>
      </c>
      <c r="L274" s="776">
        <f t="shared" si="492"/>
        <v>123602.96464082965</v>
      </c>
      <c r="M274" s="776">
        <f t="shared" si="493"/>
        <v>947622.72891302733</v>
      </c>
      <c r="N274" s="776">
        <f t="shared" si="494"/>
        <v>818380.9954507692</v>
      </c>
      <c r="O274" s="776">
        <f t="shared" si="495"/>
        <v>122757.14931761537</v>
      </c>
      <c r="P274" s="776">
        <f t="shared" si="496"/>
        <v>941138.14476838452</v>
      </c>
      <c r="Q274" s="783">
        <f t="shared" ref="Q274:Q275" si="498">Q270</f>
        <v>24559.838769230766</v>
      </c>
    </row>
    <row r="275" spans="1:17" s="769" customFormat="1">
      <c r="A275" s="809" t="s">
        <v>767</v>
      </c>
      <c r="B275" s="810" t="s">
        <v>770</v>
      </c>
      <c r="C275" s="804" t="s">
        <v>51</v>
      </c>
      <c r="D275" s="801" t="s">
        <v>31</v>
      </c>
      <c r="E275" s="783">
        <f t="shared" si="497"/>
        <v>963583.09905000008</v>
      </c>
      <c r="F275" s="783"/>
      <c r="G275" s="783">
        <f t="shared" si="490"/>
        <v>12289.984499999999</v>
      </c>
      <c r="H275" s="783">
        <f t="shared" si="490"/>
        <v>10380.399999999998</v>
      </c>
      <c r="I275" s="783">
        <f t="shared" si="490"/>
        <v>7330.3994678571435</v>
      </c>
      <c r="J275" s="783">
        <f t="shared" si="490"/>
        <v>14838.162066000001</v>
      </c>
      <c r="K275" s="776">
        <f t="shared" si="491"/>
        <v>1008422.0450838573</v>
      </c>
      <c r="L275" s="776">
        <f t="shared" si="492"/>
        <v>151263.30676257858</v>
      </c>
      <c r="M275" s="776">
        <f t="shared" si="493"/>
        <v>1159685.3518464358</v>
      </c>
      <c r="N275" s="776">
        <f t="shared" si="494"/>
        <v>1001091.6456160002</v>
      </c>
      <c r="O275" s="776">
        <f t="shared" si="495"/>
        <v>150163.74684240003</v>
      </c>
      <c r="P275" s="776">
        <f t="shared" si="496"/>
        <v>1151255.3924584002</v>
      </c>
      <c r="Q275" s="783">
        <f t="shared" si="498"/>
        <v>30019.734461538457</v>
      </c>
    </row>
    <row r="276" spans="1:17" s="769" customFormat="1">
      <c r="A276" s="771">
        <v>5</v>
      </c>
      <c r="B276" s="808" t="s">
        <v>252</v>
      </c>
      <c r="C276" s="804" t="s">
        <v>51</v>
      </c>
      <c r="D276" s="801" t="s">
        <v>31</v>
      </c>
      <c r="E276" s="783"/>
      <c r="F276" s="783"/>
      <c r="G276" s="783"/>
      <c r="H276" s="783"/>
      <c r="I276" s="783"/>
      <c r="J276" s="783"/>
      <c r="K276" s="776"/>
      <c r="L276" s="776"/>
      <c r="M276" s="776"/>
      <c r="N276" s="776"/>
      <c r="O276" s="776"/>
      <c r="P276" s="776"/>
      <c r="Q276" s="783"/>
    </row>
    <row r="277" spans="1:17" s="769" customFormat="1">
      <c r="A277" s="771">
        <v>5.0999999999999996</v>
      </c>
      <c r="B277" s="808" t="s">
        <v>771</v>
      </c>
      <c r="C277" s="804" t="s">
        <v>51</v>
      </c>
      <c r="D277" s="801" t="s">
        <v>31</v>
      </c>
      <c r="E277" s="783"/>
      <c r="F277" s="783"/>
      <c r="G277" s="783"/>
      <c r="H277" s="783"/>
      <c r="I277" s="783"/>
      <c r="J277" s="783"/>
      <c r="K277" s="776"/>
      <c r="L277" s="776"/>
      <c r="M277" s="776"/>
      <c r="N277" s="776"/>
      <c r="O277" s="776"/>
      <c r="P277" s="776"/>
      <c r="Q277" s="783"/>
    </row>
    <row r="278" spans="1:17" s="769" customFormat="1">
      <c r="A278" s="771"/>
      <c r="B278" s="810" t="s">
        <v>768</v>
      </c>
      <c r="C278" s="804" t="s">
        <v>51</v>
      </c>
      <c r="D278" s="801" t="s">
        <v>31</v>
      </c>
      <c r="E278" s="783">
        <f>E282</f>
        <v>747597.61889999988</v>
      </c>
      <c r="F278" s="783"/>
      <c r="G278" s="783">
        <f t="shared" ref="G278:J280" si="499">G232</f>
        <v>15756.390384615384</v>
      </c>
      <c r="H278" s="783">
        <f t="shared" si="499"/>
        <v>31754</v>
      </c>
      <c r="I278" s="783">
        <f t="shared" si="499"/>
        <v>9397.9480357142857</v>
      </c>
      <c r="J278" s="783">
        <f t="shared" si="499"/>
        <v>19023.2847</v>
      </c>
      <c r="K278" s="776">
        <f t="shared" ref="K278:K280" si="500">SUM(E278:J278)</f>
        <v>823529.24202032958</v>
      </c>
      <c r="L278" s="776">
        <f t="shared" ref="L278:L280" si="501">K278*15%</f>
        <v>123529.38630304942</v>
      </c>
      <c r="M278" s="776">
        <f t="shared" ref="M278:M280" si="502">K278+L278</f>
        <v>947058.62832337897</v>
      </c>
      <c r="N278" s="776">
        <f t="shared" ref="N278:N280" si="503">K278-I278</f>
        <v>814131.29398461524</v>
      </c>
      <c r="O278" s="776">
        <f t="shared" ref="O278:O280" si="504">$L$6*N278</f>
        <v>122119.69409769228</v>
      </c>
      <c r="P278" s="776">
        <f t="shared" ref="P278:P280" si="505">N278+O278</f>
        <v>936250.98808230751</v>
      </c>
      <c r="Q278" s="783">
        <f>NCong!P515</f>
        <v>23089.324923076922</v>
      </c>
    </row>
    <row r="279" spans="1:17" s="769" customFormat="1">
      <c r="A279" s="771"/>
      <c r="B279" s="810" t="s">
        <v>769</v>
      </c>
      <c r="C279" s="804" t="s">
        <v>51</v>
      </c>
      <c r="D279" s="801" t="s">
        <v>31</v>
      </c>
      <c r="E279" s="783">
        <f t="shared" ref="E279:E280" si="506">E283</f>
        <v>926791.88332499983</v>
      </c>
      <c r="F279" s="783"/>
      <c r="G279" s="783">
        <f t="shared" si="499"/>
        <v>15756.390384615384</v>
      </c>
      <c r="H279" s="783">
        <f t="shared" si="499"/>
        <v>31754</v>
      </c>
      <c r="I279" s="783">
        <f t="shared" si="499"/>
        <v>9397.9480357142857</v>
      </c>
      <c r="J279" s="783">
        <f t="shared" si="499"/>
        <v>19023.2847</v>
      </c>
      <c r="K279" s="776">
        <f t="shared" si="500"/>
        <v>1002723.5064453295</v>
      </c>
      <c r="L279" s="776">
        <f t="shared" si="501"/>
        <v>150408.52596679941</v>
      </c>
      <c r="M279" s="776">
        <f t="shared" si="502"/>
        <v>1153132.032412129</v>
      </c>
      <c r="N279" s="776">
        <f t="shared" si="503"/>
        <v>993325.55840961519</v>
      </c>
      <c r="O279" s="776">
        <f t="shared" si="504"/>
        <v>148998.83376144228</v>
      </c>
      <c r="P279" s="776">
        <f t="shared" si="505"/>
        <v>1142324.3921710574</v>
      </c>
      <c r="Q279" s="783">
        <f>NCong!Q515</f>
        <v>28725.357269230764</v>
      </c>
    </row>
    <row r="280" spans="1:17" s="769" customFormat="1">
      <c r="A280" s="771"/>
      <c r="B280" s="810" t="s">
        <v>770</v>
      </c>
      <c r="C280" s="804" t="s">
        <v>51</v>
      </c>
      <c r="D280" s="801" t="s">
        <v>31</v>
      </c>
      <c r="E280" s="783">
        <f t="shared" si="506"/>
        <v>1160090.4950250001</v>
      </c>
      <c r="F280" s="783"/>
      <c r="G280" s="783">
        <f t="shared" si="499"/>
        <v>20483.307499999999</v>
      </c>
      <c r="H280" s="783">
        <f t="shared" si="499"/>
        <v>31754</v>
      </c>
      <c r="I280" s="783">
        <f t="shared" si="499"/>
        <v>12217.332446428572</v>
      </c>
      <c r="J280" s="783">
        <f t="shared" si="499"/>
        <v>24730.270110000001</v>
      </c>
      <c r="K280" s="776">
        <f t="shared" si="500"/>
        <v>1249275.4050814286</v>
      </c>
      <c r="L280" s="776">
        <f t="shared" si="501"/>
        <v>187391.31076221427</v>
      </c>
      <c r="M280" s="776">
        <f t="shared" si="502"/>
        <v>1436666.7158436428</v>
      </c>
      <c r="N280" s="776">
        <f t="shared" si="503"/>
        <v>1237058.0726350001</v>
      </c>
      <c r="O280" s="776">
        <f t="shared" si="504"/>
        <v>185558.71089525</v>
      </c>
      <c r="P280" s="776">
        <f t="shared" si="505"/>
        <v>1422616.7835302502</v>
      </c>
      <c r="Q280" s="783">
        <f>NCong!R515</f>
        <v>35852.347807692298</v>
      </c>
    </row>
    <row r="281" spans="1:17" s="769" customFormat="1">
      <c r="A281" s="771">
        <v>5.2</v>
      </c>
      <c r="B281" s="808" t="s">
        <v>772</v>
      </c>
      <c r="C281" s="804"/>
      <c r="D281" s="801"/>
      <c r="E281" s="783"/>
      <c r="F281" s="783"/>
      <c r="G281" s="783"/>
      <c r="H281" s="783"/>
      <c r="I281" s="783"/>
      <c r="J281" s="783"/>
      <c r="K281" s="776"/>
      <c r="L281" s="776"/>
      <c r="M281" s="776"/>
      <c r="N281" s="776"/>
      <c r="O281" s="776"/>
      <c r="P281" s="776"/>
      <c r="Q281" s="783"/>
    </row>
    <row r="282" spans="1:17" s="769" customFormat="1">
      <c r="A282" s="809" t="s">
        <v>767</v>
      </c>
      <c r="B282" s="810" t="s">
        <v>768</v>
      </c>
      <c r="C282" s="804" t="s">
        <v>51</v>
      </c>
      <c r="D282" s="801" t="s">
        <v>31</v>
      </c>
      <c r="E282" s="783">
        <f>NCong!M515</f>
        <v>747597.61889999988</v>
      </c>
      <c r="F282" s="783"/>
      <c r="G282" s="783">
        <f t="shared" ref="G282:J284" si="507">G264</f>
        <v>9453.834230769231</v>
      </c>
      <c r="H282" s="783">
        <f t="shared" si="507"/>
        <v>10380.399999999998</v>
      </c>
      <c r="I282" s="783">
        <f t="shared" si="507"/>
        <v>5638.7688214285708</v>
      </c>
      <c r="J282" s="783">
        <f t="shared" si="507"/>
        <v>11413.97082</v>
      </c>
      <c r="K282" s="776">
        <f t="shared" ref="K282:K284" si="508">SUM(E282:J282)</f>
        <v>784484.59277219768</v>
      </c>
      <c r="L282" s="776">
        <f t="shared" ref="L282:L284" si="509">K282*15%</f>
        <v>117672.68891582965</v>
      </c>
      <c r="M282" s="776">
        <f t="shared" ref="M282:M284" si="510">K282+L282</f>
        <v>902157.28168802732</v>
      </c>
      <c r="N282" s="776">
        <f t="shared" ref="N282:N284" si="511">K282-I282</f>
        <v>778845.82395076915</v>
      </c>
      <c r="O282" s="776">
        <f t="shared" ref="O282:O284" si="512">$L$6*N282</f>
        <v>116826.87359261537</v>
      </c>
      <c r="P282" s="776">
        <f t="shared" ref="P282:P284" si="513">N282+O282</f>
        <v>895672.69754338451</v>
      </c>
      <c r="Q282" s="783">
        <f>Q278</f>
        <v>23089.324923076922</v>
      </c>
    </row>
    <row r="283" spans="1:17" s="769" customFormat="1">
      <c r="A283" s="809" t="s">
        <v>767</v>
      </c>
      <c r="B283" s="810" t="s">
        <v>769</v>
      </c>
      <c r="C283" s="804" t="s">
        <v>51</v>
      </c>
      <c r="D283" s="801" t="s">
        <v>31</v>
      </c>
      <c r="E283" s="783">
        <f>NCong!N515</f>
        <v>926791.88332499983</v>
      </c>
      <c r="F283" s="783"/>
      <c r="G283" s="783">
        <f t="shared" si="507"/>
        <v>9453.834230769231</v>
      </c>
      <c r="H283" s="783">
        <f t="shared" si="507"/>
        <v>10380.399999999998</v>
      </c>
      <c r="I283" s="783">
        <f t="shared" si="507"/>
        <v>5638.7688214285708</v>
      </c>
      <c r="J283" s="783">
        <f t="shared" si="507"/>
        <v>11413.97082</v>
      </c>
      <c r="K283" s="776">
        <f t="shared" si="508"/>
        <v>963678.85719719762</v>
      </c>
      <c r="L283" s="776">
        <f t="shared" si="509"/>
        <v>144551.82857957963</v>
      </c>
      <c r="M283" s="776">
        <f t="shared" si="510"/>
        <v>1108230.6857767773</v>
      </c>
      <c r="N283" s="776">
        <f t="shared" si="511"/>
        <v>958040.08837576909</v>
      </c>
      <c r="O283" s="776">
        <f t="shared" si="512"/>
        <v>143706.01325636535</v>
      </c>
      <c r="P283" s="776">
        <f t="shared" si="513"/>
        <v>1101746.1016321345</v>
      </c>
      <c r="Q283" s="783">
        <f t="shared" ref="Q283:Q284" si="514">Q279</f>
        <v>28725.357269230764</v>
      </c>
    </row>
    <row r="284" spans="1:17" s="769" customFormat="1">
      <c r="A284" s="809" t="s">
        <v>767</v>
      </c>
      <c r="B284" s="810" t="s">
        <v>770</v>
      </c>
      <c r="C284" s="804" t="s">
        <v>51</v>
      </c>
      <c r="D284" s="801" t="s">
        <v>31</v>
      </c>
      <c r="E284" s="783">
        <f>NCong!O515</f>
        <v>1160090.4950250001</v>
      </c>
      <c r="F284" s="783"/>
      <c r="G284" s="783">
        <f t="shared" si="507"/>
        <v>12289.984499999999</v>
      </c>
      <c r="H284" s="783">
        <f t="shared" si="507"/>
        <v>10380.399999999998</v>
      </c>
      <c r="I284" s="783">
        <f t="shared" si="507"/>
        <v>7330.3994678571435</v>
      </c>
      <c r="J284" s="783">
        <f t="shared" si="507"/>
        <v>14838.162066000001</v>
      </c>
      <c r="K284" s="776">
        <f t="shared" si="508"/>
        <v>1204929.4410588571</v>
      </c>
      <c r="L284" s="776">
        <f t="shared" si="509"/>
        <v>180739.41615882856</v>
      </c>
      <c r="M284" s="776">
        <f t="shared" si="510"/>
        <v>1385668.8572176858</v>
      </c>
      <c r="N284" s="776">
        <f t="shared" si="511"/>
        <v>1197599.041591</v>
      </c>
      <c r="O284" s="776">
        <f t="shared" si="512"/>
        <v>179639.85623865001</v>
      </c>
      <c r="P284" s="776">
        <f t="shared" si="513"/>
        <v>1377238.89782965</v>
      </c>
      <c r="Q284" s="783">
        <f t="shared" si="514"/>
        <v>35852.347807692298</v>
      </c>
    </row>
    <row r="285" spans="1:17" s="769" customFormat="1">
      <c r="A285" s="771">
        <v>6</v>
      </c>
      <c r="B285" s="808" t="s">
        <v>253</v>
      </c>
      <c r="C285" s="804" t="s">
        <v>51</v>
      </c>
      <c r="D285" s="801" t="s">
        <v>31</v>
      </c>
      <c r="E285" s="783"/>
      <c r="F285" s="783"/>
      <c r="G285" s="783"/>
      <c r="H285" s="783"/>
      <c r="I285" s="783"/>
      <c r="J285" s="783"/>
      <c r="K285" s="776"/>
      <c r="L285" s="776"/>
      <c r="M285" s="776"/>
      <c r="N285" s="776"/>
      <c r="O285" s="776"/>
      <c r="P285" s="776"/>
      <c r="Q285" s="783"/>
    </row>
    <row r="286" spans="1:17" s="769" customFormat="1">
      <c r="A286" s="771">
        <v>6.1</v>
      </c>
      <c r="B286" s="808" t="s">
        <v>771</v>
      </c>
      <c r="C286" s="804" t="s">
        <v>51</v>
      </c>
      <c r="D286" s="801" t="s">
        <v>31</v>
      </c>
      <c r="E286" s="783"/>
      <c r="F286" s="783"/>
      <c r="G286" s="783"/>
      <c r="H286" s="783"/>
      <c r="I286" s="783"/>
      <c r="J286" s="783"/>
      <c r="K286" s="776"/>
      <c r="L286" s="776"/>
      <c r="M286" s="776"/>
      <c r="N286" s="776"/>
      <c r="O286" s="776"/>
      <c r="P286" s="776"/>
      <c r="Q286" s="783"/>
    </row>
    <row r="287" spans="1:17" s="769" customFormat="1">
      <c r="A287" s="809" t="s">
        <v>767</v>
      </c>
      <c r="B287" s="810" t="s">
        <v>768</v>
      </c>
      <c r="C287" s="804" t="s">
        <v>51</v>
      </c>
      <c r="D287" s="801" t="s">
        <v>31</v>
      </c>
      <c r="E287" s="783">
        <f>E291</f>
        <v>716389.1327999999</v>
      </c>
      <c r="F287" s="783"/>
      <c r="G287" s="783">
        <f>G278</f>
        <v>15756.390384615384</v>
      </c>
      <c r="H287" s="783">
        <f t="shared" ref="H287:J287" si="515">H278</f>
        <v>31754</v>
      </c>
      <c r="I287" s="783">
        <f t="shared" si="515"/>
        <v>9397.9480357142857</v>
      </c>
      <c r="J287" s="783">
        <f t="shared" si="515"/>
        <v>19023.2847</v>
      </c>
      <c r="K287" s="776">
        <f t="shared" ref="K287:K289" si="516">SUM(E287:J287)</f>
        <v>792320.7559203296</v>
      </c>
      <c r="L287" s="776">
        <f t="shared" ref="L287:L289" si="517">K287*15%</f>
        <v>118848.11338804943</v>
      </c>
      <c r="M287" s="776">
        <f t="shared" ref="M287:M289" si="518">K287+L287</f>
        <v>911168.86930837901</v>
      </c>
      <c r="N287" s="776">
        <f t="shared" ref="N287:N289" si="519">K287-I287</f>
        <v>782922.80788461526</v>
      </c>
      <c r="O287" s="776">
        <f t="shared" ref="O287:O289" si="520">$L$6*N287</f>
        <v>117438.42118269228</v>
      </c>
      <c r="P287" s="776">
        <f t="shared" ref="P287:P289" si="521">N287+O287</f>
        <v>900361.22906730755</v>
      </c>
      <c r="Q287" s="783">
        <f>Q291</f>
        <v>22193.471384615383</v>
      </c>
    </row>
    <row r="288" spans="1:17" s="769" customFormat="1">
      <c r="A288" s="809" t="s">
        <v>767</v>
      </c>
      <c r="B288" s="810" t="s">
        <v>769</v>
      </c>
      <c r="C288" s="804" t="s">
        <v>51</v>
      </c>
      <c r="D288" s="801" t="s">
        <v>31</v>
      </c>
      <c r="E288" s="783">
        <f t="shared" ref="E288:E289" si="522">E292</f>
        <v>905853.67289999989</v>
      </c>
      <c r="F288" s="783"/>
      <c r="G288" s="783">
        <f t="shared" ref="G288:J289" si="523">G279</f>
        <v>15756.390384615384</v>
      </c>
      <c r="H288" s="783">
        <f t="shared" si="523"/>
        <v>31754</v>
      </c>
      <c r="I288" s="783">
        <f t="shared" si="523"/>
        <v>9397.9480357142857</v>
      </c>
      <c r="J288" s="783">
        <f t="shared" si="523"/>
        <v>19023.2847</v>
      </c>
      <c r="K288" s="776">
        <f t="shared" si="516"/>
        <v>981785.29602032958</v>
      </c>
      <c r="L288" s="776">
        <f t="shared" si="517"/>
        <v>147267.79440304943</v>
      </c>
      <c r="M288" s="776">
        <f t="shared" si="518"/>
        <v>1129053.0904233791</v>
      </c>
      <c r="N288" s="776">
        <f t="shared" si="519"/>
        <v>972387.34798461525</v>
      </c>
      <c r="O288" s="776">
        <f t="shared" si="520"/>
        <v>145858.10219769229</v>
      </c>
      <c r="P288" s="776">
        <f t="shared" si="521"/>
        <v>1118245.4501823075</v>
      </c>
      <c r="Q288" s="783">
        <f t="shared" ref="Q288:Q289" si="524">Q292</f>
        <v>28160.223384615379</v>
      </c>
    </row>
    <row r="289" spans="1:17" s="769" customFormat="1">
      <c r="A289" s="809" t="s">
        <v>767</v>
      </c>
      <c r="B289" s="810" t="s">
        <v>770</v>
      </c>
      <c r="C289" s="804" t="s">
        <v>51</v>
      </c>
      <c r="D289" s="801" t="s">
        <v>31</v>
      </c>
      <c r="E289" s="783">
        <f t="shared" si="522"/>
        <v>1106048.15805</v>
      </c>
      <c r="F289" s="783"/>
      <c r="G289" s="783">
        <f t="shared" si="523"/>
        <v>20483.307499999999</v>
      </c>
      <c r="H289" s="783">
        <f t="shared" si="523"/>
        <v>31754</v>
      </c>
      <c r="I289" s="783">
        <f t="shared" si="523"/>
        <v>12217.332446428572</v>
      </c>
      <c r="J289" s="783">
        <f t="shared" si="523"/>
        <v>24730.270110000001</v>
      </c>
      <c r="K289" s="776">
        <f t="shared" si="516"/>
        <v>1195233.0681064285</v>
      </c>
      <c r="L289" s="776">
        <f t="shared" si="517"/>
        <v>179284.96021596427</v>
      </c>
      <c r="M289" s="776">
        <f t="shared" si="518"/>
        <v>1374518.0283223928</v>
      </c>
      <c r="N289" s="776">
        <f t="shared" si="519"/>
        <v>1183015.73566</v>
      </c>
      <c r="O289" s="776">
        <f t="shared" si="520"/>
        <v>177452.360349</v>
      </c>
      <c r="P289" s="776">
        <f t="shared" si="521"/>
        <v>1360468.096009</v>
      </c>
      <c r="Q289" s="783">
        <f t="shared" si="524"/>
        <v>34340.196000000004</v>
      </c>
    </row>
    <row r="290" spans="1:17" s="769" customFormat="1">
      <c r="A290" s="771">
        <v>6.2</v>
      </c>
      <c r="B290" s="808" t="s">
        <v>772</v>
      </c>
      <c r="C290" s="804"/>
      <c r="D290" s="801"/>
      <c r="E290" s="783"/>
      <c r="F290" s="783"/>
      <c r="G290" s="783"/>
      <c r="H290" s="783"/>
      <c r="I290" s="783"/>
      <c r="J290" s="783"/>
      <c r="K290" s="776"/>
      <c r="L290" s="776"/>
      <c r="M290" s="776"/>
      <c r="N290" s="776"/>
      <c r="O290" s="776"/>
      <c r="P290" s="776"/>
      <c r="Q290" s="783"/>
    </row>
    <row r="291" spans="1:17" s="769" customFormat="1">
      <c r="A291" s="809" t="s">
        <v>767</v>
      </c>
      <c r="B291" s="810" t="s">
        <v>768</v>
      </c>
      <c r="C291" s="804" t="s">
        <v>51</v>
      </c>
      <c r="D291" s="801" t="s">
        <v>31</v>
      </c>
      <c r="E291" s="783">
        <f>NCong!M516</f>
        <v>716389.1327999999</v>
      </c>
      <c r="F291" s="783"/>
      <c r="G291" s="783">
        <f>G282</f>
        <v>9453.834230769231</v>
      </c>
      <c r="H291" s="783">
        <f t="shared" ref="H291:J291" si="525">H282</f>
        <v>10380.399999999998</v>
      </c>
      <c r="I291" s="783">
        <f t="shared" si="525"/>
        <v>5638.7688214285708</v>
      </c>
      <c r="J291" s="783">
        <f t="shared" si="525"/>
        <v>11413.97082</v>
      </c>
      <c r="K291" s="776">
        <f t="shared" ref="K291:K293" si="526">SUM(E291:J291)</f>
        <v>753276.1066721977</v>
      </c>
      <c r="L291" s="776">
        <f t="shared" ref="L291:L293" si="527">K291*15%</f>
        <v>112991.41600082965</v>
      </c>
      <c r="M291" s="776">
        <f t="shared" ref="M291:M293" si="528">K291+L291</f>
        <v>866267.52267302736</v>
      </c>
      <c r="N291" s="776">
        <f t="shared" ref="N291:N293" si="529">K291-I291</f>
        <v>747637.33785076917</v>
      </c>
      <c r="O291" s="776">
        <f t="shared" ref="O291:O293" si="530">$L$6*N291</f>
        <v>112145.60067761537</v>
      </c>
      <c r="P291" s="776">
        <f t="shared" ref="P291:P293" si="531">N291+O291</f>
        <v>859782.93852838455</v>
      </c>
      <c r="Q291" s="783">
        <f>NCong!P516</f>
        <v>22193.471384615383</v>
      </c>
    </row>
    <row r="292" spans="1:17" s="769" customFormat="1">
      <c r="A292" s="809" t="s">
        <v>767</v>
      </c>
      <c r="B292" s="810" t="s">
        <v>769</v>
      </c>
      <c r="C292" s="804" t="s">
        <v>51</v>
      </c>
      <c r="D292" s="801" t="s">
        <v>31</v>
      </c>
      <c r="E292" s="783">
        <f>NCong!N516</f>
        <v>905853.67289999989</v>
      </c>
      <c r="F292" s="783"/>
      <c r="G292" s="783">
        <f t="shared" ref="G292:J292" si="532">G283</f>
        <v>9453.834230769231</v>
      </c>
      <c r="H292" s="783">
        <f t="shared" si="532"/>
        <v>10380.399999999998</v>
      </c>
      <c r="I292" s="783">
        <f t="shared" si="532"/>
        <v>5638.7688214285708</v>
      </c>
      <c r="J292" s="783">
        <f t="shared" si="532"/>
        <v>11413.97082</v>
      </c>
      <c r="K292" s="776">
        <f t="shared" si="526"/>
        <v>942740.64677219768</v>
      </c>
      <c r="L292" s="776">
        <f t="shared" si="527"/>
        <v>141411.09701582964</v>
      </c>
      <c r="M292" s="776">
        <f t="shared" si="528"/>
        <v>1084151.7437880272</v>
      </c>
      <c r="N292" s="776">
        <f t="shared" si="529"/>
        <v>937101.87795076915</v>
      </c>
      <c r="O292" s="776">
        <f t="shared" si="530"/>
        <v>140565.28169261536</v>
      </c>
      <c r="P292" s="776">
        <f t="shared" si="531"/>
        <v>1077667.1596433846</v>
      </c>
      <c r="Q292" s="783">
        <f>NCong!Q516</f>
        <v>28160.223384615379</v>
      </c>
    </row>
    <row r="293" spans="1:17" s="769" customFormat="1">
      <c r="A293" s="809" t="s">
        <v>767</v>
      </c>
      <c r="B293" s="810" t="s">
        <v>770</v>
      </c>
      <c r="C293" s="804" t="s">
        <v>51</v>
      </c>
      <c r="D293" s="801" t="s">
        <v>31</v>
      </c>
      <c r="E293" s="783">
        <f>NCong!O516</f>
        <v>1106048.15805</v>
      </c>
      <c r="F293" s="783"/>
      <c r="G293" s="783">
        <f t="shared" ref="G293:J293" si="533">G284</f>
        <v>12289.984499999999</v>
      </c>
      <c r="H293" s="783">
        <f t="shared" si="533"/>
        <v>10380.399999999998</v>
      </c>
      <c r="I293" s="783">
        <f t="shared" si="533"/>
        <v>7330.3994678571435</v>
      </c>
      <c r="J293" s="783">
        <f t="shared" si="533"/>
        <v>14838.162066000001</v>
      </c>
      <c r="K293" s="776">
        <f t="shared" si="526"/>
        <v>1150887.104083857</v>
      </c>
      <c r="L293" s="776">
        <f t="shared" si="527"/>
        <v>172633.06561257856</v>
      </c>
      <c r="M293" s="776">
        <f t="shared" si="528"/>
        <v>1323520.1696964356</v>
      </c>
      <c r="N293" s="776">
        <f t="shared" si="529"/>
        <v>1143556.7046159999</v>
      </c>
      <c r="O293" s="776">
        <f t="shared" si="530"/>
        <v>171533.50569239998</v>
      </c>
      <c r="P293" s="776">
        <f t="shared" si="531"/>
        <v>1315090.2103084</v>
      </c>
      <c r="Q293" s="783">
        <f>NCong!R516</f>
        <v>34340.196000000004</v>
      </c>
    </row>
    <row r="294" spans="1:17" s="769" customFormat="1">
      <c r="A294" s="771">
        <v>7</v>
      </c>
      <c r="B294" s="808" t="s">
        <v>254</v>
      </c>
      <c r="C294" s="804" t="s">
        <v>51</v>
      </c>
      <c r="D294" s="801" t="s">
        <v>31</v>
      </c>
      <c r="E294" s="783"/>
      <c r="F294" s="783"/>
      <c r="G294" s="783"/>
      <c r="H294" s="783"/>
      <c r="I294" s="783"/>
      <c r="J294" s="783"/>
      <c r="K294" s="776"/>
      <c r="L294" s="776"/>
      <c r="M294" s="776"/>
      <c r="N294" s="776"/>
      <c r="O294" s="776"/>
      <c r="P294" s="776"/>
      <c r="Q294" s="783"/>
    </row>
    <row r="295" spans="1:17" s="769" customFormat="1">
      <c r="A295" s="771">
        <v>7.1</v>
      </c>
      <c r="B295" s="808" t="s">
        <v>771</v>
      </c>
      <c r="C295" s="804" t="s">
        <v>51</v>
      </c>
      <c r="D295" s="801" t="s">
        <v>31</v>
      </c>
      <c r="E295" s="783"/>
      <c r="F295" s="783"/>
      <c r="G295" s="783"/>
      <c r="H295" s="783"/>
      <c r="I295" s="783"/>
      <c r="J295" s="783"/>
      <c r="K295" s="776"/>
      <c r="L295" s="776"/>
      <c r="M295" s="776"/>
      <c r="N295" s="776"/>
      <c r="O295" s="776"/>
      <c r="P295" s="776"/>
      <c r="Q295" s="783"/>
    </row>
    <row r="296" spans="1:17" s="769" customFormat="1">
      <c r="A296" s="809" t="s">
        <v>767</v>
      </c>
      <c r="B296" s="810" t="s">
        <v>768</v>
      </c>
      <c r="C296" s="804" t="s">
        <v>51</v>
      </c>
      <c r="D296" s="801" t="s">
        <v>31</v>
      </c>
      <c r="E296" s="783">
        <f>NCong!M517</f>
        <v>743473.21289999981</v>
      </c>
      <c r="F296" s="783"/>
      <c r="G296" s="783">
        <f t="shared" ref="G296:J298" si="534">G232</f>
        <v>15756.390384615384</v>
      </c>
      <c r="H296" s="783">
        <f t="shared" si="534"/>
        <v>31754</v>
      </c>
      <c r="I296" s="783">
        <f t="shared" si="534"/>
        <v>9397.9480357142857</v>
      </c>
      <c r="J296" s="783">
        <f t="shared" si="534"/>
        <v>19023.2847</v>
      </c>
      <c r="K296" s="776">
        <f t="shared" ref="K296:K298" si="535">SUM(E296:J296)</f>
        <v>819404.8360203295</v>
      </c>
      <c r="L296" s="776">
        <f t="shared" ref="L296:L298" si="536">K296*15%</f>
        <v>122910.72540304942</v>
      </c>
      <c r="M296" s="776">
        <f t="shared" ref="M296:M298" si="537">K296+L296</f>
        <v>942315.56142337888</v>
      </c>
      <c r="N296" s="776">
        <f t="shared" ref="N296:N298" si="538">K296-I296</f>
        <v>810006.88798461517</v>
      </c>
      <c r="O296" s="776">
        <f t="shared" ref="O296:O298" si="539">$L$6*N296</f>
        <v>121501.03319769228</v>
      </c>
      <c r="P296" s="776">
        <f t="shared" ref="P296:P298" si="540">N296+O296</f>
        <v>931507.92118230741</v>
      </c>
      <c r="Q296" s="783">
        <f>NCong!P517</f>
        <v>22978.004923076922</v>
      </c>
    </row>
    <row r="297" spans="1:17" s="769" customFormat="1">
      <c r="A297" s="809" t="s">
        <v>767</v>
      </c>
      <c r="B297" s="810" t="s">
        <v>769</v>
      </c>
      <c r="C297" s="804" t="s">
        <v>51</v>
      </c>
      <c r="D297" s="801" t="s">
        <v>31</v>
      </c>
      <c r="E297" s="783">
        <f>NCong!N517</f>
        <v>921097.3909499998</v>
      </c>
      <c r="F297" s="783"/>
      <c r="G297" s="783">
        <f t="shared" si="534"/>
        <v>15756.390384615384</v>
      </c>
      <c r="H297" s="783">
        <f t="shared" si="534"/>
        <v>31754</v>
      </c>
      <c r="I297" s="783">
        <f t="shared" si="534"/>
        <v>9397.9480357142857</v>
      </c>
      <c r="J297" s="783">
        <f t="shared" si="534"/>
        <v>19023.2847</v>
      </c>
      <c r="K297" s="776">
        <f t="shared" si="535"/>
        <v>997029.01407032949</v>
      </c>
      <c r="L297" s="776">
        <f t="shared" si="536"/>
        <v>149554.35211054943</v>
      </c>
      <c r="M297" s="776">
        <f t="shared" si="537"/>
        <v>1146583.3661808788</v>
      </c>
      <c r="N297" s="776">
        <f t="shared" si="538"/>
        <v>987631.06603461516</v>
      </c>
      <c r="O297" s="776">
        <f t="shared" si="539"/>
        <v>148144.65990519227</v>
      </c>
      <c r="P297" s="776">
        <f t="shared" si="540"/>
        <v>1135775.7259398075</v>
      </c>
      <c r="Q297" s="783">
        <f>NCong!Q517</f>
        <v>28571.659769230766</v>
      </c>
    </row>
    <row r="298" spans="1:17" s="769" customFormat="1">
      <c r="A298" s="809" t="s">
        <v>767</v>
      </c>
      <c r="B298" s="810" t="s">
        <v>770</v>
      </c>
      <c r="C298" s="804" t="s">
        <v>51</v>
      </c>
      <c r="D298" s="801" t="s">
        <v>31</v>
      </c>
      <c r="E298" s="783">
        <f>NCong!O517</f>
        <v>1149756.0459</v>
      </c>
      <c r="F298" s="783"/>
      <c r="G298" s="783">
        <f t="shared" si="534"/>
        <v>20483.307499999999</v>
      </c>
      <c r="H298" s="783">
        <f t="shared" si="534"/>
        <v>31754</v>
      </c>
      <c r="I298" s="783">
        <f t="shared" si="534"/>
        <v>12217.332446428572</v>
      </c>
      <c r="J298" s="783">
        <f t="shared" si="534"/>
        <v>24730.270110000001</v>
      </c>
      <c r="K298" s="776">
        <f t="shared" si="535"/>
        <v>1238940.9559564285</v>
      </c>
      <c r="L298" s="776">
        <f t="shared" si="536"/>
        <v>185841.14339346427</v>
      </c>
      <c r="M298" s="776">
        <f t="shared" si="537"/>
        <v>1424782.0993498927</v>
      </c>
      <c r="N298" s="776">
        <f t="shared" si="538"/>
        <v>1226723.6235100001</v>
      </c>
      <c r="O298" s="776">
        <f t="shared" si="539"/>
        <v>184008.5435265</v>
      </c>
      <c r="P298" s="776">
        <f t="shared" si="540"/>
        <v>1410732.1670365001</v>
      </c>
      <c r="Q298" s="783">
        <f>NCong!R517</f>
        <v>35573.415307692303</v>
      </c>
    </row>
    <row r="299" spans="1:17" s="769" customFormat="1">
      <c r="A299" s="771">
        <v>7.2</v>
      </c>
      <c r="B299" s="808" t="s">
        <v>772</v>
      </c>
      <c r="C299" s="804" t="s">
        <v>51</v>
      </c>
      <c r="D299" s="801" t="s">
        <v>31</v>
      </c>
      <c r="E299" s="783"/>
      <c r="F299" s="783"/>
      <c r="G299" s="783"/>
      <c r="H299" s="783"/>
      <c r="I299" s="783"/>
      <c r="J299" s="783"/>
      <c r="K299" s="776"/>
      <c r="L299" s="776"/>
      <c r="M299" s="776"/>
      <c r="N299" s="776"/>
      <c r="O299" s="776"/>
      <c r="P299" s="776"/>
      <c r="Q299" s="783"/>
    </row>
    <row r="300" spans="1:17" s="769" customFormat="1">
      <c r="A300" s="809" t="s">
        <v>767</v>
      </c>
      <c r="B300" s="810" t="s">
        <v>768</v>
      </c>
      <c r="C300" s="804" t="s">
        <v>51</v>
      </c>
      <c r="D300" s="801" t="s">
        <v>31</v>
      </c>
      <c r="E300" s="783">
        <f>E296</f>
        <v>743473.21289999981</v>
      </c>
      <c r="F300" s="783"/>
      <c r="G300" s="783">
        <f>G291</f>
        <v>9453.834230769231</v>
      </c>
      <c r="H300" s="783">
        <f t="shared" ref="H300:J300" si="541">H291</f>
        <v>10380.399999999998</v>
      </c>
      <c r="I300" s="783">
        <f t="shared" si="541"/>
        <v>5638.7688214285708</v>
      </c>
      <c r="J300" s="783">
        <f t="shared" si="541"/>
        <v>11413.97082</v>
      </c>
      <c r="K300" s="776">
        <f t="shared" ref="K300:K302" si="542">SUM(E300:J300)</f>
        <v>780360.1867721976</v>
      </c>
      <c r="L300" s="776">
        <f t="shared" ref="L300:L302" si="543">K300*15%</f>
        <v>117054.02801582964</v>
      </c>
      <c r="M300" s="776">
        <f t="shared" ref="M300:M302" si="544">K300+L300</f>
        <v>897414.21478802722</v>
      </c>
      <c r="N300" s="776">
        <f t="shared" ref="N300:N302" si="545">K300-I300</f>
        <v>774721.41795076907</v>
      </c>
      <c r="O300" s="776">
        <f t="shared" ref="O300:O302" si="546">$L$6*N300</f>
        <v>116208.21269261536</v>
      </c>
      <c r="P300" s="776">
        <f t="shared" ref="P300:P302" si="547">N300+O300</f>
        <v>890929.63064338441</v>
      </c>
      <c r="Q300" s="783">
        <f>Q296</f>
        <v>22978.004923076922</v>
      </c>
    </row>
    <row r="301" spans="1:17" s="769" customFormat="1">
      <c r="A301" s="809" t="s">
        <v>767</v>
      </c>
      <c r="B301" s="810" t="s">
        <v>769</v>
      </c>
      <c r="C301" s="804" t="s">
        <v>51</v>
      </c>
      <c r="D301" s="801" t="s">
        <v>31</v>
      </c>
      <c r="E301" s="783">
        <f t="shared" ref="E301:E302" si="548">E297</f>
        <v>921097.3909499998</v>
      </c>
      <c r="F301" s="783"/>
      <c r="G301" s="783">
        <f t="shared" ref="G301:J301" si="549">G292</f>
        <v>9453.834230769231</v>
      </c>
      <c r="H301" s="783">
        <f t="shared" si="549"/>
        <v>10380.399999999998</v>
      </c>
      <c r="I301" s="783">
        <f t="shared" si="549"/>
        <v>5638.7688214285708</v>
      </c>
      <c r="J301" s="783">
        <f t="shared" si="549"/>
        <v>11413.97082</v>
      </c>
      <c r="K301" s="776">
        <f t="shared" si="542"/>
        <v>957984.36482219759</v>
      </c>
      <c r="L301" s="776">
        <f t="shared" si="543"/>
        <v>143697.65472332964</v>
      </c>
      <c r="M301" s="776">
        <f t="shared" si="544"/>
        <v>1101682.0195455272</v>
      </c>
      <c r="N301" s="776">
        <f t="shared" si="545"/>
        <v>952345.59600076906</v>
      </c>
      <c r="O301" s="776">
        <f t="shared" si="546"/>
        <v>142851.83940011536</v>
      </c>
      <c r="P301" s="776">
        <f t="shared" si="547"/>
        <v>1095197.4354008844</v>
      </c>
      <c r="Q301" s="783">
        <f t="shared" ref="Q301:Q302" si="550">Q297</f>
        <v>28571.659769230766</v>
      </c>
    </row>
    <row r="302" spans="1:17" s="769" customFormat="1">
      <c r="A302" s="809" t="s">
        <v>767</v>
      </c>
      <c r="B302" s="810" t="s">
        <v>770</v>
      </c>
      <c r="C302" s="804" t="s">
        <v>51</v>
      </c>
      <c r="D302" s="801" t="s">
        <v>31</v>
      </c>
      <c r="E302" s="783">
        <f t="shared" si="548"/>
        <v>1149756.0459</v>
      </c>
      <c r="F302" s="783"/>
      <c r="G302" s="783">
        <f t="shared" ref="G302:J302" si="551">G293</f>
        <v>12289.984499999999</v>
      </c>
      <c r="H302" s="783">
        <f t="shared" si="551"/>
        <v>10380.399999999998</v>
      </c>
      <c r="I302" s="783">
        <f t="shared" si="551"/>
        <v>7330.3994678571435</v>
      </c>
      <c r="J302" s="783">
        <f t="shared" si="551"/>
        <v>14838.162066000001</v>
      </c>
      <c r="K302" s="776">
        <f t="shared" si="542"/>
        <v>1194594.9919338571</v>
      </c>
      <c r="L302" s="776">
        <f t="shared" si="543"/>
        <v>179189.24879007856</v>
      </c>
      <c r="M302" s="776">
        <f t="shared" si="544"/>
        <v>1373784.2407239357</v>
      </c>
      <c r="N302" s="776">
        <f t="shared" si="545"/>
        <v>1187264.592466</v>
      </c>
      <c r="O302" s="776">
        <f t="shared" si="546"/>
        <v>178089.68886989998</v>
      </c>
      <c r="P302" s="776">
        <f t="shared" si="547"/>
        <v>1365354.2813359001</v>
      </c>
      <c r="Q302" s="783">
        <f t="shared" si="550"/>
        <v>35573.415307692303</v>
      </c>
    </row>
    <row r="303" spans="1:17" s="769" customFormat="1">
      <c r="A303" s="771">
        <v>8</v>
      </c>
      <c r="B303" s="808" t="s">
        <v>255</v>
      </c>
      <c r="C303" s="804" t="s">
        <v>51</v>
      </c>
      <c r="D303" s="801" t="s">
        <v>31</v>
      </c>
      <c r="E303" s="783"/>
      <c r="F303" s="783"/>
      <c r="G303" s="783"/>
      <c r="H303" s="783"/>
      <c r="I303" s="783"/>
      <c r="J303" s="783"/>
      <c r="K303" s="776"/>
      <c r="L303" s="776"/>
      <c r="M303" s="776"/>
      <c r="N303" s="776"/>
      <c r="O303" s="776"/>
      <c r="P303" s="776"/>
      <c r="Q303" s="783"/>
    </row>
    <row r="304" spans="1:17" s="769" customFormat="1">
      <c r="A304" s="771">
        <v>8.1</v>
      </c>
      <c r="B304" s="808" t="s">
        <v>771</v>
      </c>
      <c r="C304" s="804" t="s">
        <v>51</v>
      </c>
      <c r="D304" s="801" t="s">
        <v>31</v>
      </c>
      <c r="E304" s="783"/>
      <c r="F304" s="783"/>
      <c r="G304" s="783"/>
      <c r="H304" s="783"/>
      <c r="I304" s="783"/>
      <c r="J304" s="783"/>
      <c r="K304" s="776"/>
      <c r="L304" s="776"/>
      <c r="M304" s="776"/>
      <c r="N304" s="776"/>
      <c r="O304" s="776"/>
      <c r="P304" s="776"/>
      <c r="Q304" s="783"/>
    </row>
    <row r="305" spans="1:17" s="769" customFormat="1">
      <c r="A305" s="809" t="s">
        <v>767</v>
      </c>
      <c r="B305" s="810" t="s">
        <v>768</v>
      </c>
      <c r="C305" s="804" t="s">
        <v>51</v>
      </c>
      <c r="D305" s="801" t="s">
        <v>31</v>
      </c>
      <c r="E305" s="783">
        <f>NCong!M518</f>
        <v>743473.21289999981</v>
      </c>
      <c r="F305" s="783"/>
      <c r="G305" s="783">
        <f t="shared" ref="G305:J307" si="552">G232</f>
        <v>15756.390384615384</v>
      </c>
      <c r="H305" s="783">
        <f t="shared" si="552"/>
        <v>31754</v>
      </c>
      <c r="I305" s="783">
        <f t="shared" si="552"/>
        <v>9397.9480357142857</v>
      </c>
      <c r="J305" s="783">
        <f t="shared" si="552"/>
        <v>19023.2847</v>
      </c>
      <c r="K305" s="776">
        <f t="shared" ref="K305:K307" si="553">SUM(E305:J305)</f>
        <v>819404.8360203295</v>
      </c>
      <c r="L305" s="776">
        <f t="shared" ref="L305:L307" si="554">K305*15%</f>
        <v>122910.72540304942</v>
      </c>
      <c r="M305" s="776">
        <f t="shared" ref="M305:M307" si="555">K305+L305</f>
        <v>942315.56142337888</v>
      </c>
      <c r="N305" s="776">
        <f t="shared" ref="N305:N307" si="556">K305-I305</f>
        <v>810006.88798461517</v>
      </c>
      <c r="O305" s="776">
        <f t="shared" ref="O305:O307" si="557">$L$6*N305</f>
        <v>121501.03319769228</v>
      </c>
      <c r="P305" s="776">
        <f t="shared" ref="P305:P307" si="558">N305+O305</f>
        <v>931507.92118230741</v>
      </c>
      <c r="Q305" s="783">
        <f>NCong!P518</f>
        <v>22978.004923076922</v>
      </c>
    </row>
    <row r="306" spans="1:17" s="769" customFormat="1">
      <c r="A306" s="809" t="s">
        <v>767</v>
      </c>
      <c r="B306" s="810" t="s">
        <v>769</v>
      </c>
      <c r="C306" s="804" t="s">
        <v>51</v>
      </c>
      <c r="D306" s="801" t="s">
        <v>31</v>
      </c>
      <c r="E306" s="783">
        <f>NCong!N518</f>
        <v>921097.3909499998</v>
      </c>
      <c r="F306" s="783"/>
      <c r="G306" s="783">
        <f t="shared" si="552"/>
        <v>15756.390384615384</v>
      </c>
      <c r="H306" s="783">
        <f t="shared" si="552"/>
        <v>31754</v>
      </c>
      <c r="I306" s="783">
        <f t="shared" si="552"/>
        <v>9397.9480357142857</v>
      </c>
      <c r="J306" s="783">
        <f t="shared" si="552"/>
        <v>19023.2847</v>
      </c>
      <c r="K306" s="776">
        <f t="shared" si="553"/>
        <v>997029.01407032949</v>
      </c>
      <c r="L306" s="776">
        <f t="shared" si="554"/>
        <v>149554.35211054943</v>
      </c>
      <c r="M306" s="776">
        <f t="shared" si="555"/>
        <v>1146583.3661808788</v>
      </c>
      <c r="N306" s="776">
        <f t="shared" si="556"/>
        <v>987631.06603461516</v>
      </c>
      <c r="O306" s="776">
        <f t="shared" si="557"/>
        <v>148144.65990519227</v>
      </c>
      <c r="P306" s="776">
        <f t="shared" si="558"/>
        <v>1135775.7259398075</v>
      </c>
      <c r="Q306" s="783">
        <f>NCong!Q518</f>
        <v>28571.659769230766</v>
      </c>
    </row>
    <row r="307" spans="1:17" s="769" customFormat="1">
      <c r="A307" s="809" t="s">
        <v>767</v>
      </c>
      <c r="B307" s="810" t="s">
        <v>770</v>
      </c>
      <c r="C307" s="804" t="s">
        <v>51</v>
      </c>
      <c r="D307" s="801" t="s">
        <v>31</v>
      </c>
      <c r="E307" s="783">
        <f>NCong!O518</f>
        <v>1149756.0459</v>
      </c>
      <c r="F307" s="783"/>
      <c r="G307" s="783">
        <f t="shared" si="552"/>
        <v>20483.307499999999</v>
      </c>
      <c r="H307" s="783">
        <f t="shared" si="552"/>
        <v>31754</v>
      </c>
      <c r="I307" s="783">
        <f t="shared" si="552"/>
        <v>12217.332446428572</v>
      </c>
      <c r="J307" s="783">
        <f t="shared" si="552"/>
        <v>24730.270110000001</v>
      </c>
      <c r="K307" s="776">
        <f t="shared" si="553"/>
        <v>1238940.9559564285</v>
      </c>
      <c r="L307" s="776">
        <f t="shared" si="554"/>
        <v>185841.14339346427</v>
      </c>
      <c r="M307" s="776">
        <f t="shared" si="555"/>
        <v>1424782.0993498927</v>
      </c>
      <c r="N307" s="776">
        <f t="shared" si="556"/>
        <v>1226723.6235100001</v>
      </c>
      <c r="O307" s="776">
        <f t="shared" si="557"/>
        <v>184008.5435265</v>
      </c>
      <c r="P307" s="776">
        <f t="shared" si="558"/>
        <v>1410732.1670365001</v>
      </c>
      <c r="Q307" s="783">
        <f>NCong!R518</f>
        <v>35573.415307692303</v>
      </c>
    </row>
    <row r="308" spans="1:17" s="769" customFormat="1">
      <c r="A308" s="771">
        <v>8.1999999999999993</v>
      </c>
      <c r="B308" s="808" t="s">
        <v>772</v>
      </c>
      <c r="C308" s="804" t="s">
        <v>51</v>
      </c>
      <c r="D308" s="801" t="s">
        <v>31</v>
      </c>
      <c r="E308" s="783"/>
      <c r="F308" s="783"/>
      <c r="G308" s="783"/>
      <c r="H308" s="783"/>
      <c r="I308" s="783"/>
      <c r="J308" s="783"/>
      <c r="K308" s="776"/>
      <c r="L308" s="776"/>
      <c r="M308" s="776"/>
      <c r="N308" s="776"/>
      <c r="O308" s="776"/>
      <c r="P308" s="776"/>
      <c r="Q308" s="783"/>
    </row>
    <row r="309" spans="1:17" s="769" customFormat="1">
      <c r="A309" s="809" t="s">
        <v>767</v>
      </c>
      <c r="B309" s="810" t="s">
        <v>768</v>
      </c>
      <c r="C309" s="804" t="s">
        <v>51</v>
      </c>
      <c r="D309" s="801" t="s">
        <v>31</v>
      </c>
      <c r="E309" s="783">
        <f>E305</f>
        <v>743473.21289999981</v>
      </c>
      <c r="F309" s="783"/>
      <c r="G309" s="783">
        <f>G300</f>
        <v>9453.834230769231</v>
      </c>
      <c r="H309" s="783">
        <f t="shared" ref="H309:J309" si="559">H300</f>
        <v>10380.399999999998</v>
      </c>
      <c r="I309" s="783">
        <f t="shared" si="559"/>
        <v>5638.7688214285708</v>
      </c>
      <c r="J309" s="783">
        <f t="shared" si="559"/>
        <v>11413.97082</v>
      </c>
      <c r="K309" s="776">
        <f t="shared" ref="K309:K311" si="560">SUM(E309:J309)</f>
        <v>780360.1867721976</v>
      </c>
      <c r="L309" s="776">
        <f t="shared" ref="L309:L311" si="561">K309*15%</f>
        <v>117054.02801582964</v>
      </c>
      <c r="M309" s="776">
        <f t="shared" ref="M309:M311" si="562">K309+L309</f>
        <v>897414.21478802722</v>
      </c>
      <c r="N309" s="776">
        <f t="shared" ref="N309:N311" si="563">K309-I309</f>
        <v>774721.41795076907</v>
      </c>
      <c r="O309" s="776">
        <f t="shared" ref="O309:O311" si="564">$L$6*N309</f>
        <v>116208.21269261536</v>
      </c>
      <c r="P309" s="776">
        <f t="shared" ref="P309:P311" si="565">N309+O309</f>
        <v>890929.63064338441</v>
      </c>
      <c r="Q309" s="783">
        <f>Q305</f>
        <v>22978.004923076922</v>
      </c>
    </row>
    <row r="310" spans="1:17" s="769" customFormat="1">
      <c r="A310" s="809" t="s">
        <v>767</v>
      </c>
      <c r="B310" s="810" t="s">
        <v>769</v>
      </c>
      <c r="C310" s="804" t="s">
        <v>51</v>
      </c>
      <c r="D310" s="801" t="s">
        <v>31</v>
      </c>
      <c r="E310" s="783">
        <f t="shared" ref="E310:E311" si="566">E306</f>
        <v>921097.3909499998</v>
      </c>
      <c r="F310" s="783"/>
      <c r="G310" s="783">
        <f t="shared" ref="G310:J310" si="567">G301</f>
        <v>9453.834230769231</v>
      </c>
      <c r="H310" s="783">
        <f t="shared" si="567"/>
        <v>10380.399999999998</v>
      </c>
      <c r="I310" s="783">
        <f t="shared" si="567"/>
        <v>5638.7688214285708</v>
      </c>
      <c r="J310" s="783">
        <f t="shared" si="567"/>
        <v>11413.97082</v>
      </c>
      <c r="K310" s="776">
        <f t="shared" si="560"/>
        <v>957984.36482219759</v>
      </c>
      <c r="L310" s="776">
        <f t="shared" si="561"/>
        <v>143697.65472332964</v>
      </c>
      <c r="M310" s="776">
        <f t="shared" si="562"/>
        <v>1101682.0195455272</v>
      </c>
      <c r="N310" s="776">
        <f t="shared" si="563"/>
        <v>952345.59600076906</v>
      </c>
      <c r="O310" s="776">
        <f t="shared" si="564"/>
        <v>142851.83940011536</v>
      </c>
      <c r="P310" s="776">
        <f t="shared" si="565"/>
        <v>1095197.4354008844</v>
      </c>
      <c r="Q310" s="783">
        <f t="shared" ref="Q310:Q311" si="568">Q306</f>
        <v>28571.659769230766</v>
      </c>
    </row>
    <row r="311" spans="1:17" s="769" customFormat="1">
      <c r="A311" s="809" t="s">
        <v>767</v>
      </c>
      <c r="B311" s="810" t="s">
        <v>770</v>
      </c>
      <c r="C311" s="804" t="s">
        <v>51</v>
      </c>
      <c r="D311" s="801" t="s">
        <v>31</v>
      </c>
      <c r="E311" s="783">
        <f t="shared" si="566"/>
        <v>1149756.0459</v>
      </c>
      <c r="F311" s="783"/>
      <c r="G311" s="783">
        <f t="shared" ref="G311:J311" si="569">G302</f>
        <v>12289.984499999999</v>
      </c>
      <c r="H311" s="783">
        <f t="shared" si="569"/>
        <v>10380.399999999998</v>
      </c>
      <c r="I311" s="783">
        <f t="shared" si="569"/>
        <v>7330.3994678571435</v>
      </c>
      <c r="J311" s="783">
        <f t="shared" si="569"/>
        <v>14838.162066000001</v>
      </c>
      <c r="K311" s="776">
        <f t="shared" si="560"/>
        <v>1194594.9919338571</v>
      </c>
      <c r="L311" s="776">
        <f t="shared" si="561"/>
        <v>179189.24879007856</v>
      </c>
      <c r="M311" s="776">
        <f t="shared" si="562"/>
        <v>1373784.2407239357</v>
      </c>
      <c r="N311" s="776">
        <f t="shared" si="563"/>
        <v>1187264.592466</v>
      </c>
      <c r="O311" s="776">
        <f t="shared" si="564"/>
        <v>178089.68886989998</v>
      </c>
      <c r="P311" s="776">
        <f t="shared" si="565"/>
        <v>1365354.2813359001</v>
      </c>
      <c r="Q311" s="783">
        <f t="shared" si="568"/>
        <v>35573.415307692303</v>
      </c>
    </row>
    <row r="312" spans="1:17" s="769" customFormat="1">
      <c r="A312" s="771">
        <v>9</v>
      </c>
      <c r="B312" s="808" t="s">
        <v>256</v>
      </c>
      <c r="C312" s="804" t="s">
        <v>51</v>
      </c>
      <c r="D312" s="801" t="s">
        <v>31</v>
      </c>
      <c r="E312" s="783"/>
      <c r="F312" s="783"/>
      <c r="G312" s="783"/>
      <c r="H312" s="783"/>
      <c r="I312" s="783"/>
      <c r="J312" s="783"/>
      <c r="K312" s="776"/>
      <c r="L312" s="776"/>
      <c r="M312" s="776"/>
      <c r="N312" s="776"/>
      <c r="O312" s="776"/>
      <c r="P312" s="776"/>
      <c r="Q312" s="783"/>
    </row>
    <row r="313" spans="1:17" s="769" customFormat="1">
      <c r="A313" s="771">
        <v>9.1</v>
      </c>
      <c r="B313" s="808" t="s">
        <v>771</v>
      </c>
      <c r="C313" s="804" t="s">
        <v>51</v>
      </c>
      <c r="D313" s="801" t="s">
        <v>31</v>
      </c>
      <c r="E313" s="783"/>
      <c r="F313" s="783"/>
      <c r="G313" s="783"/>
      <c r="H313" s="783"/>
      <c r="I313" s="783"/>
      <c r="J313" s="783"/>
      <c r="K313" s="776"/>
      <c r="L313" s="776"/>
      <c r="M313" s="776"/>
      <c r="N313" s="776"/>
      <c r="O313" s="776"/>
      <c r="P313" s="776"/>
      <c r="Q313" s="783"/>
    </row>
    <row r="314" spans="1:17" s="769" customFormat="1">
      <c r="A314" s="809" t="s">
        <v>767</v>
      </c>
      <c r="B314" s="810" t="s">
        <v>768</v>
      </c>
      <c r="C314" s="804" t="s">
        <v>51</v>
      </c>
      <c r="D314" s="801" t="s">
        <v>31</v>
      </c>
      <c r="E314" s="783">
        <f>NCong!M519</f>
        <v>743473.21289999981</v>
      </c>
      <c r="F314" s="783"/>
      <c r="G314" s="783">
        <f t="shared" ref="G314:J316" si="570">G232</f>
        <v>15756.390384615384</v>
      </c>
      <c r="H314" s="783">
        <f t="shared" si="570"/>
        <v>31754</v>
      </c>
      <c r="I314" s="783">
        <f t="shared" si="570"/>
        <v>9397.9480357142857</v>
      </c>
      <c r="J314" s="783">
        <f t="shared" si="570"/>
        <v>19023.2847</v>
      </c>
      <c r="K314" s="776">
        <f t="shared" ref="K314:K316" si="571">SUM(E314:J314)</f>
        <v>819404.8360203295</v>
      </c>
      <c r="L314" s="776">
        <f t="shared" ref="L314:L316" si="572">K314*15%</f>
        <v>122910.72540304942</v>
      </c>
      <c r="M314" s="776">
        <f t="shared" ref="M314:M316" si="573">K314+L314</f>
        <v>942315.56142337888</v>
      </c>
      <c r="N314" s="776">
        <f t="shared" ref="N314:N316" si="574">K314-I314</f>
        <v>810006.88798461517</v>
      </c>
      <c r="O314" s="776">
        <f t="shared" ref="O314:O316" si="575">$L$6*N314</f>
        <v>121501.03319769228</v>
      </c>
      <c r="P314" s="776">
        <f t="shared" ref="P314:P316" si="576">N314+O314</f>
        <v>931507.92118230741</v>
      </c>
      <c r="Q314" s="783">
        <f>NCong!P519</f>
        <v>22978.004923076922</v>
      </c>
    </row>
    <row r="315" spans="1:17" s="769" customFormat="1">
      <c r="A315" s="809" t="s">
        <v>767</v>
      </c>
      <c r="B315" s="810" t="s">
        <v>769</v>
      </c>
      <c r="C315" s="804" t="s">
        <v>51</v>
      </c>
      <c r="D315" s="801" t="s">
        <v>31</v>
      </c>
      <c r="E315" s="783">
        <f>NCong!N519</f>
        <v>921097.3909499998</v>
      </c>
      <c r="F315" s="783"/>
      <c r="G315" s="783">
        <f t="shared" si="570"/>
        <v>15756.390384615384</v>
      </c>
      <c r="H315" s="783">
        <f t="shared" si="570"/>
        <v>31754</v>
      </c>
      <c r="I315" s="783">
        <f t="shared" si="570"/>
        <v>9397.9480357142857</v>
      </c>
      <c r="J315" s="783">
        <f t="shared" si="570"/>
        <v>19023.2847</v>
      </c>
      <c r="K315" s="776">
        <f t="shared" si="571"/>
        <v>997029.01407032949</v>
      </c>
      <c r="L315" s="776">
        <f t="shared" si="572"/>
        <v>149554.35211054943</v>
      </c>
      <c r="M315" s="776">
        <f t="shared" si="573"/>
        <v>1146583.3661808788</v>
      </c>
      <c r="N315" s="776">
        <f t="shared" si="574"/>
        <v>987631.06603461516</v>
      </c>
      <c r="O315" s="776">
        <f t="shared" si="575"/>
        <v>148144.65990519227</v>
      </c>
      <c r="P315" s="776">
        <f t="shared" si="576"/>
        <v>1135775.7259398075</v>
      </c>
      <c r="Q315" s="783">
        <f>NCong!Q519</f>
        <v>28571.659769230766</v>
      </c>
    </row>
    <row r="316" spans="1:17" s="769" customFormat="1">
      <c r="A316" s="809" t="s">
        <v>767</v>
      </c>
      <c r="B316" s="810" t="s">
        <v>770</v>
      </c>
      <c r="C316" s="804" t="s">
        <v>51</v>
      </c>
      <c r="D316" s="801" t="s">
        <v>31</v>
      </c>
      <c r="E316" s="783">
        <f>NCong!O519</f>
        <v>1149756.0459</v>
      </c>
      <c r="F316" s="783"/>
      <c r="G316" s="783">
        <f t="shared" si="570"/>
        <v>20483.307499999999</v>
      </c>
      <c r="H316" s="783">
        <f t="shared" si="570"/>
        <v>31754</v>
      </c>
      <c r="I316" s="783">
        <f t="shared" si="570"/>
        <v>12217.332446428572</v>
      </c>
      <c r="J316" s="783">
        <f t="shared" si="570"/>
        <v>24730.270110000001</v>
      </c>
      <c r="K316" s="776">
        <f t="shared" si="571"/>
        <v>1238940.9559564285</v>
      </c>
      <c r="L316" s="776">
        <f t="shared" si="572"/>
        <v>185841.14339346427</v>
      </c>
      <c r="M316" s="776">
        <f t="shared" si="573"/>
        <v>1424782.0993498927</v>
      </c>
      <c r="N316" s="776">
        <f t="shared" si="574"/>
        <v>1226723.6235100001</v>
      </c>
      <c r="O316" s="776">
        <f t="shared" si="575"/>
        <v>184008.5435265</v>
      </c>
      <c r="P316" s="776">
        <f t="shared" si="576"/>
        <v>1410732.1670365001</v>
      </c>
      <c r="Q316" s="783">
        <f>NCong!R519</f>
        <v>35573.415307692303</v>
      </c>
    </row>
    <row r="317" spans="1:17" s="769" customFormat="1">
      <c r="A317" s="771">
        <v>9.1999999999999993</v>
      </c>
      <c r="B317" s="808" t="s">
        <v>772</v>
      </c>
      <c r="C317" s="804" t="s">
        <v>51</v>
      </c>
      <c r="D317" s="801" t="s">
        <v>31</v>
      </c>
      <c r="E317" s="783"/>
      <c r="F317" s="783"/>
      <c r="G317" s="783"/>
      <c r="H317" s="783"/>
      <c r="I317" s="783"/>
      <c r="J317" s="783"/>
      <c r="K317" s="776"/>
      <c r="L317" s="776"/>
      <c r="M317" s="776"/>
      <c r="N317" s="776"/>
      <c r="O317" s="776"/>
      <c r="P317" s="776"/>
      <c r="Q317" s="783"/>
    </row>
    <row r="318" spans="1:17" s="769" customFormat="1">
      <c r="A318" s="809" t="s">
        <v>767</v>
      </c>
      <c r="B318" s="810" t="s">
        <v>768</v>
      </c>
      <c r="C318" s="804" t="s">
        <v>51</v>
      </c>
      <c r="D318" s="801" t="s">
        <v>31</v>
      </c>
      <c r="E318" s="783">
        <f>E314</f>
        <v>743473.21289999981</v>
      </c>
      <c r="F318" s="783"/>
      <c r="G318" s="783">
        <f>G309</f>
        <v>9453.834230769231</v>
      </c>
      <c r="H318" s="783">
        <f t="shared" ref="H318:J318" si="577">H309</f>
        <v>10380.399999999998</v>
      </c>
      <c r="I318" s="783">
        <f t="shared" si="577"/>
        <v>5638.7688214285708</v>
      </c>
      <c r="J318" s="783">
        <f t="shared" si="577"/>
        <v>11413.97082</v>
      </c>
      <c r="K318" s="776">
        <f t="shared" ref="K318:K320" si="578">SUM(E318:J318)</f>
        <v>780360.1867721976</v>
      </c>
      <c r="L318" s="776">
        <f t="shared" ref="L318:L320" si="579">K318*15%</f>
        <v>117054.02801582964</v>
      </c>
      <c r="M318" s="776">
        <f t="shared" ref="M318:M320" si="580">K318+L318</f>
        <v>897414.21478802722</v>
      </c>
      <c r="N318" s="776">
        <f t="shared" ref="N318:N320" si="581">K318-I318</f>
        <v>774721.41795076907</v>
      </c>
      <c r="O318" s="776">
        <f t="shared" ref="O318:O320" si="582">$L$6*N318</f>
        <v>116208.21269261536</v>
      </c>
      <c r="P318" s="776">
        <f t="shared" ref="P318:P320" si="583">N318+O318</f>
        <v>890929.63064338441</v>
      </c>
      <c r="Q318" s="783">
        <f>Q314</f>
        <v>22978.004923076922</v>
      </c>
    </row>
    <row r="319" spans="1:17" s="769" customFormat="1">
      <c r="A319" s="809" t="s">
        <v>767</v>
      </c>
      <c r="B319" s="810" t="s">
        <v>769</v>
      </c>
      <c r="C319" s="804" t="s">
        <v>51</v>
      </c>
      <c r="D319" s="801" t="s">
        <v>31</v>
      </c>
      <c r="E319" s="783">
        <f t="shared" ref="E319:E320" si="584">E315</f>
        <v>921097.3909499998</v>
      </c>
      <c r="F319" s="783"/>
      <c r="G319" s="783">
        <f t="shared" ref="G319:J320" si="585">G310</f>
        <v>9453.834230769231</v>
      </c>
      <c r="H319" s="783">
        <f t="shared" si="585"/>
        <v>10380.399999999998</v>
      </c>
      <c r="I319" s="783">
        <f t="shared" si="585"/>
        <v>5638.7688214285708</v>
      </c>
      <c r="J319" s="783">
        <f t="shared" si="585"/>
        <v>11413.97082</v>
      </c>
      <c r="K319" s="776">
        <f t="shared" si="578"/>
        <v>957984.36482219759</v>
      </c>
      <c r="L319" s="776">
        <f t="shared" si="579"/>
        <v>143697.65472332964</v>
      </c>
      <c r="M319" s="776">
        <f t="shared" si="580"/>
        <v>1101682.0195455272</v>
      </c>
      <c r="N319" s="776">
        <f t="shared" si="581"/>
        <v>952345.59600076906</v>
      </c>
      <c r="O319" s="776">
        <f t="shared" si="582"/>
        <v>142851.83940011536</v>
      </c>
      <c r="P319" s="776">
        <f t="shared" si="583"/>
        <v>1095197.4354008844</v>
      </c>
      <c r="Q319" s="783">
        <f t="shared" ref="Q319:Q320" si="586">Q315</f>
        <v>28571.659769230766</v>
      </c>
    </row>
    <row r="320" spans="1:17" s="769" customFormat="1">
      <c r="A320" s="809" t="s">
        <v>767</v>
      </c>
      <c r="B320" s="810" t="s">
        <v>770</v>
      </c>
      <c r="C320" s="804" t="s">
        <v>51</v>
      </c>
      <c r="D320" s="801" t="s">
        <v>31</v>
      </c>
      <c r="E320" s="783">
        <f t="shared" si="584"/>
        <v>1149756.0459</v>
      </c>
      <c r="F320" s="783"/>
      <c r="G320" s="783">
        <f t="shared" si="585"/>
        <v>12289.984499999999</v>
      </c>
      <c r="H320" s="783">
        <f t="shared" si="585"/>
        <v>10380.399999999998</v>
      </c>
      <c r="I320" s="783">
        <f t="shared" si="585"/>
        <v>7330.3994678571435</v>
      </c>
      <c r="J320" s="783">
        <f t="shared" si="585"/>
        <v>14838.162066000001</v>
      </c>
      <c r="K320" s="776">
        <f t="shared" si="578"/>
        <v>1194594.9919338571</v>
      </c>
      <c r="L320" s="776">
        <f t="shared" si="579"/>
        <v>179189.24879007856</v>
      </c>
      <c r="M320" s="776">
        <f t="shared" si="580"/>
        <v>1373784.2407239357</v>
      </c>
      <c r="N320" s="776">
        <f t="shared" si="581"/>
        <v>1187264.592466</v>
      </c>
      <c r="O320" s="776">
        <f t="shared" si="582"/>
        <v>178089.68886989998</v>
      </c>
      <c r="P320" s="776">
        <f t="shared" si="583"/>
        <v>1365354.2813359001</v>
      </c>
      <c r="Q320" s="783">
        <f t="shared" si="586"/>
        <v>35573.415307692303</v>
      </c>
    </row>
    <row r="321" spans="1:17" s="769" customFormat="1">
      <c r="A321" s="771">
        <v>10</v>
      </c>
      <c r="B321" s="808" t="s">
        <v>257</v>
      </c>
      <c r="C321" s="804" t="s">
        <v>51</v>
      </c>
      <c r="D321" s="801" t="s">
        <v>31</v>
      </c>
      <c r="E321" s="783"/>
      <c r="F321" s="783"/>
      <c r="G321" s="783"/>
      <c r="H321" s="783"/>
      <c r="I321" s="783"/>
      <c r="J321" s="783"/>
      <c r="K321" s="776"/>
      <c r="L321" s="776"/>
      <c r="M321" s="776"/>
      <c r="N321" s="776"/>
      <c r="O321" s="776"/>
      <c r="P321" s="776"/>
      <c r="Q321" s="783"/>
    </row>
    <row r="322" spans="1:17" s="769" customFormat="1">
      <c r="A322" s="771">
        <v>10.1</v>
      </c>
      <c r="B322" s="808" t="s">
        <v>771</v>
      </c>
      <c r="C322" s="804" t="s">
        <v>51</v>
      </c>
      <c r="D322" s="801" t="s">
        <v>31</v>
      </c>
      <c r="E322" s="783"/>
      <c r="F322" s="783"/>
      <c r="G322" s="783"/>
      <c r="H322" s="783"/>
      <c r="I322" s="783"/>
      <c r="J322" s="783"/>
      <c r="K322" s="776"/>
      <c r="L322" s="776"/>
      <c r="M322" s="776"/>
      <c r="N322" s="776"/>
      <c r="O322" s="776"/>
      <c r="P322" s="776"/>
      <c r="Q322" s="783"/>
    </row>
    <row r="323" spans="1:17" s="769" customFormat="1">
      <c r="A323" s="809" t="s">
        <v>767</v>
      </c>
      <c r="B323" s="810" t="s">
        <v>768</v>
      </c>
      <c r="C323" s="804" t="s">
        <v>51</v>
      </c>
      <c r="D323" s="801" t="s">
        <v>31</v>
      </c>
      <c r="E323" s="783">
        <f>NCong!M520</f>
        <v>743473.21289999981</v>
      </c>
      <c r="F323" s="783"/>
      <c r="G323" s="783">
        <f t="shared" ref="G323:J325" si="587">G232</f>
        <v>15756.390384615384</v>
      </c>
      <c r="H323" s="783">
        <f t="shared" si="587"/>
        <v>31754</v>
      </c>
      <c r="I323" s="783">
        <f t="shared" si="587"/>
        <v>9397.9480357142857</v>
      </c>
      <c r="J323" s="783">
        <f t="shared" si="587"/>
        <v>19023.2847</v>
      </c>
      <c r="K323" s="776">
        <f t="shared" ref="K323:K325" si="588">SUM(E323:J323)</f>
        <v>819404.8360203295</v>
      </c>
      <c r="L323" s="776">
        <f t="shared" ref="L323:L325" si="589">K323*15%</f>
        <v>122910.72540304942</v>
      </c>
      <c r="M323" s="776">
        <f t="shared" ref="M323:M325" si="590">K323+L323</f>
        <v>942315.56142337888</v>
      </c>
      <c r="N323" s="776">
        <f t="shared" ref="N323:N325" si="591">K323-I323</f>
        <v>810006.88798461517</v>
      </c>
      <c r="O323" s="776">
        <f t="shared" ref="O323:O325" si="592">$L$6*N323</f>
        <v>121501.03319769228</v>
      </c>
      <c r="P323" s="776">
        <f t="shared" ref="P323:P325" si="593">N323+O323</f>
        <v>931507.92118230741</v>
      </c>
      <c r="Q323" s="783">
        <f>NCong!P520</f>
        <v>22978.004923076922</v>
      </c>
    </row>
    <row r="324" spans="1:17" s="769" customFormat="1">
      <c r="A324" s="809" t="s">
        <v>767</v>
      </c>
      <c r="B324" s="810" t="s">
        <v>769</v>
      </c>
      <c r="C324" s="804" t="s">
        <v>51</v>
      </c>
      <c r="D324" s="801" t="s">
        <v>31</v>
      </c>
      <c r="E324" s="783">
        <f>NCong!N520</f>
        <v>921097.3909499998</v>
      </c>
      <c r="F324" s="783"/>
      <c r="G324" s="783">
        <f t="shared" si="587"/>
        <v>15756.390384615384</v>
      </c>
      <c r="H324" s="783">
        <f t="shared" si="587"/>
        <v>31754</v>
      </c>
      <c r="I324" s="783">
        <f t="shared" si="587"/>
        <v>9397.9480357142857</v>
      </c>
      <c r="J324" s="783">
        <f t="shared" si="587"/>
        <v>19023.2847</v>
      </c>
      <c r="K324" s="776">
        <f t="shared" si="588"/>
        <v>997029.01407032949</v>
      </c>
      <c r="L324" s="776">
        <f t="shared" si="589"/>
        <v>149554.35211054943</v>
      </c>
      <c r="M324" s="776">
        <f t="shared" si="590"/>
        <v>1146583.3661808788</v>
      </c>
      <c r="N324" s="776">
        <f t="shared" si="591"/>
        <v>987631.06603461516</v>
      </c>
      <c r="O324" s="776">
        <f t="shared" si="592"/>
        <v>148144.65990519227</v>
      </c>
      <c r="P324" s="776">
        <f t="shared" si="593"/>
        <v>1135775.7259398075</v>
      </c>
      <c r="Q324" s="783">
        <f>NCong!Q520</f>
        <v>28571.659769230766</v>
      </c>
    </row>
    <row r="325" spans="1:17" s="769" customFormat="1">
      <c r="A325" s="809" t="s">
        <v>767</v>
      </c>
      <c r="B325" s="810" t="s">
        <v>770</v>
      </c>
      <c r="C325" s="804" t="s">
        <v>51</v>
      </c>
      <c r="D325" s="801" t="s">
        <v>31</v>
      </c>
      <c r="E325" s="783">
        <f>NCong!O520</f>
        <v>1149756.0459</v>
      </c>
      <c r="F325" s="783"/>
      <c r="G325" s="783">
        <f t="shared" si="587"/>
        <v>20483.307499999999</v>
      </c>
      <c r="H325" s="783">
        <f t="shared" si="587"/>
        <v>31754</v>
      </c>
      <c r="I325" s="783">
        <f t="shared" si="587"/>
        <v>12217.332446428572</v>
      </c>
      <c r="J325" s="783">
        <f t="shared" si="587"/>
        <v>24730.270110000001</v>
      </c>
      <c r="K325" s="776">
        <f t="shared" si="588"/>
        <v>1238940.9559564285</v>
      </c>
      <c r="L325" s="776">
        <f t="shared" si="589"/>
        <v>185841.14339346427</v>
      </c>
      <c r="M325" s="776">
        <f t="shared" si="590"/>
        <v>1424782.0993498927</v>
      </c>
      <c r="N325" s="776">
        <f t="shared" si="591"/>
        <v>1226723.6235100001</v>
      </c>
      <c r="O325" s="776">
        <f t="shared" si="592"/>
        <v>184008.5435265</v>
      </c>
      <c r="P325" s="776">
        <f t="shared" si="593"/>
        <v>1410732.1670365001</v>
      </c>
      <c r="Q325" s="783">
        <f>NCong!R520</f>
        <v>35573.415307692303</v>
      </c>
    </row>
    <row r="326" spans="1:17" s="769" customFormat="1">
      <c r="A326" s="771">
        <v>10.199999999999999</v>
      </c>
      <c r="B326" s="808" t="s">
        <v>772</v>
      </c>
      <c r="C326" s="804" t="s">
        <v>51</v>
      </c>
      <c r="D326" s="801" t="s">
        <v>31</v>
      </c>
      <c r="E326" s="783"/>
      <c r="F326" s="783"/>
      <c r="G326" s="783"/>
      <c r="H326" s="783"/>
      <c r="I326" s="783"/>
      <c r="J326" s="783"/>
      <c r="K326" s="776"/>
      <c r="L326" s="776"/>
      <c r="M326" s="776"/>
      <c r="N326" s="776"/>
      <c r="O326" s="776"/>
      <c r="P326" s="776"/>
      <c r="Q326" s="783"/>
    </row>
    <row r="327" spans="1:17" s="769" customFormat="1">
      <c r="A327" s="809" t="s">
        <v>767</v>
      </c>
      <c r="B327" s="810" t="s">
        <v>768</v>
      </c>
      <c r="C327" s="804" t="s">
        <v>51</v>
      </c>
      <c r="D327" s="801" t="s">
        <v>31</v>
      </c>
      <c r="E327" s="783">
        <f>E323</f>
        <v>743473.21289999981</v>
      </c>
      <c r="F327" s="783"/>
      <c r="G327" s="783">
        <f>G318</f>
        <v>9453.834230769231</v>
      </c>
      <c r="H327" s="783">
        <f t="shared" ref="H327:J327" si="594">H318</f>
        <v>10380.399999999998</v>
      </c>
      <c r="I327" s="783">
        <f t="shared" si="594"/>
        <v>5638.7688214285708</v>
      </c>
      <c r="J327" s="783">
        <f t="shared" si="594"/>
        <v>11413.97082</v>
      </c>
      <c r="K327" s="776">
        <f t="shared" ref="K327:K329" si="595">SUM(E327:J327)</f>
        <v>780360.1867721976</v>
      </c>
      <c r="L327" s="776">
        <f t="shared" ref="L327:L329" si="596">K327*15%</f>
        <v>117054.02801582964</v>
      </c>
      <c r="M327" s="776">
        <f t="shared" ref="M327:M329" si="597">K327+L327</f>
        <v>897414.21478802722</v>
      </c>
      <c r="N327" s="776">
        <f t="shared" ref="N327:N329" si="598">K327-I327</f>
        <v>774721.41795076907</v>
      </c>
      <c r="O327" s="776">
        <f t="shared" ref="O327:O329" si="599">$L$6*N327</f>
        <v>116208.21269261536</v>
      </c>
      <c r="P327" s="776">
        <f t="shared" ref="P327:P329" si="600">N327+O327</f>
        <v>890929.63064338441</v>
      </c>
      <c r="Q327" s="783">
        <f>Q323</f>
        <v>22978.004923076922</v>
      </c>
    </row>
    <row r="328" spans="1:17" s="769" customFormat="1">
      <c r="A328" s="809" t="s">
        <v>767</v>
      </c>
      <c r="B328" s="810" t="s">
        <v>769</v>
      </c>
      <c r="C328" s="804" t="s">
        <v>51</v>
      </c>
      <c r="D328" s="801" t="s">
        <v>31</v>
      </c>
      <c r="E328" s="783">
        <f t="shared" ref="E328:E329" si="601">E324</f>
        <v>921097.3909499998</v>
      </c>
      <c r="F328" s="783"/>
      <c r="G328" s="783">
        <f t="shared" ref="G328:J328" si="602">G319</f>
        <v>9453.834230769231</v>
      </c>
      <c r="H328" s="783">
        <f t="shared" si="602"/>
        <v>10380.399999999998</v>
      </c>
      <c r="I328" s="783">
        <f t="shared" si="602"/>
        <v>5638.7688214285708</v>
      </c>
      <c r="J328" s="783">
        <f t="shared" si="602"/>
        <v>11413.97082</v>
      </c>
      <c r="K328" s="776">
        <f t="shared" si="595"/>
        <v>957984.36482219759</v>
      </c>
      <c r="L328" s="776">
        <f t="shared" si="596"/>
        <v>143697.65472332964</v>
      </c>
      <c r="M328" s="776">
        <f t="shared" si="597"/>
        <v>1101682.0195455272</v>
      </c>
      <c r="N328" s="776">
        <f t="shared" si="598"/>
        <v>952345.59600076906</v>
      </c>
      <c r="O328" s="776">
        <f t="shared" si="599"/>
        <v>142851.83940011536</v>
      </c>
      <c r="P328" s="776">
        <f t="shared" si="600"/>
        <v>1095197.4354008844</v>
      </c>
      <c r="Q328" s="783">
        <f t="shared" ref="Q328:Q329" si="603">Q324</f>
        <v>28571.659769230766</v>
      </c>
    </row>
    <row r="329" spans="1:17" s="769" customFormat="1">
      <c r="A329" s="809" t="s">
        <v>767</v>
      </c>
      <c r="B329" s="810" t="s">
        <v>770</v>
      </c>
      <c r="C329" s="804" t="s">
        <v>51</v>
      </c>
      <c r="D329" s="801" t="s">
        <v>31</v>
      </c>
      <c r="E329" s="783">
        <f t="shared" si="601"/>
        <v>1149756.0459</v>
      </c>
      <c r="F329" s="783"/>
      <c r="G329" s="783">
        <f t="shared" ref="G329:J329" si="604">G320</f>
        <v>12289.984499999999</v>
      </c>
      <c r="H329" s="783">
        <f t="shared" si="604"/>
        <v>10380.399999999998</v>
      </c>
      <c r="I329" s="783">
        <f t="shared" si="604"/>
        <v>7330.3994678571435</v>
      </c>
      <c r="J329" s="783">
        <f t="shared" si="604"/>
        <v>14838.162066000001</v>
      </c>
      <c r="K329" s="776">
        <f t="shared" si="595"/>
        <v>1194594.9919338571</v>
      </c>
      <c r="L329" s="776">
        <f t="shared" si="596"/>
        <v>179189.24879007856</v>
      </c>
      <c r="M329" s="776">
        <f t="shared" si="597"/>
        <v>1373784.2407239357</v>
      </c>
      <c r="N329" s="776">
        <f t="shared" si="598"/>
        <v>1187264.592466</v>
      </c>
      <c r="O329" s="776">
        <f t="shared" si="599"/>
        <v>178089.68886989998</v>
      </c>
      <c r="P329" s="776">
        <f t="shared" si="600"/>
        <v>1365354.2813359001</v>
      </c>
      <c r="Q329" s="783">
        <f t="shared" si="603"/>
        <v>35573.415307692303</v>
      </c>
    </row>
    <row r="330" spans="1:17" s="769" customFormat="1">
      <c r="A330" s="771">
        <v>11</v>
      </c>
      <c r="B330" s="808" t="s">
        <v>258</v>
      </c>
      <c r="C330" s="804" t="s">
        <v>51</v>
      </c>
      <c r="D330" s="801" t="s">
        <v>31</v>
      </c>
      <c r="E330" s="783"/>
      <c r="F330" s="783"/>
      <c r="G330" s="783"/>
      <c r="H330" s="783"/>
      <c r="I330" s="783"/>
      <c r="J330" s="783"/>
      <c r="K330" s="776"/>
      <c r="L330" s="776"/>
      <c r="M330" s="776"/>
      <c r="N330" s="776"/>
      <c r="O330" s="776"/>
      <c r="P330" s="776"/>
      <c r="Q330" s="783"/>
    </row>
    <row r="331" spans="1:17" s="769" customFormat="1">
      <c r="A331" s="771">
        <v>11.1</v>
      </c>
      <c r="B331" s="808" t="s">
        <v>771</v>
      </c>
      <c r="C331" s="804" t="s">
        <v>51</v>
      </c>
      <c r="D331" s="801" t="s">
        <v>31</v>
      </c>
      <c r="E331" s="783"/>
      <c r="F331" s="783"/>
      <c r="G331" s="783"/>
      <c r="H331" s="783"/>
      <c r="I331" s="783"/>
      <c r="J331" s="783"/>
      <c r="K331" s="776"/>
      <c r="L331" s="776"/>
      <c r="M331" s="776"/>
      <c r="N331" s="776"/>
      <c r="O331" s="776"/>
      <c r="P331" s="776"/>
      <c r="Q331" s="783"/>
    </row>
    <row r="332" spans="1:17" s="769" customFormat="1">
      <c r="A332" s="809" t="s">
        <v>767</v>
      </c>
      <c r="B332" s="810" t="s">
        <v>768</v>
      </c>
      <c r="C332" s="804" t="s">
        <v>51</v>
      </c>
      <c r="D332" s="801" t="s">
        <v>31</v>
      </c>
      <c r="E332" s="783">
        <f>E336</f>
        <v>746265.11849999987</v>
      </c>
      <c r="F332" s="783"/>
      <c r="G332" s="783">
        <f>G323</f>
        <v>15756.390384615384</v>
      </c>
      <c r="H332" s="783">
        <f t="shared" ref="H332:J332" si="605">H323</f>
        <v>31754</v>
      </c>
      <c r="I332" s="783">
        <f t="shared" si="605"/>
        <v>9397.9480357142857</v>
      </c>
      <c r="J332" s="783">
        <f t="shared" si="605"/>
        <v>19023.2847</v>
      </c>
      <c r="K332" s="776">
        <f t="shared" ref="K332:K334" si="606">SUM(E332:J332)</f>
        <v>822196.74162032956</v>
      </c>
      <c r="L332" s="776">
        <f t="shared" ref="L332:L334" si="607">K332*15%</f>
        <v>123329.51124304943</v>
      </c>
      <c r="M332" s="776">
        <f t="shared" ref="M332:M334" si="608">K332+L332</f>
        <v>945526.25286337896</v>
      </c>
      <c r="N332" s="776">
        <f t="shared" ref="N332:N334" si="609">K332-I332</f>
        <v>812798.79358461522</v>
      </c>
      <c r="O332" s="776">
        <f t="shared" ref="O332:O334" si="610">$L$6*N332</f>
        <v>121919.81903769227</v>
      </c>
      <c r="P332" s="776">
        <f t="shared" ref="P332:P334" si="611">N332+O332</f>
        <v>934718.6126223075</v>
      </c>
      <c r="Q332" s="783">
        <f>Q336</f>
        <v>23053.359999999997</v>
      </c>
    </row>
    <row r="333" spans="1:17" s="769" customFormat="1">
      <c r="A333" s="809" t="s">
        <v>767</v>
      </c>
      <c r="B333" s="810" t="s">
        <v>769</v>
      </c>
      <c r="C333" s="804" t="s">
        <v>51</v>
      </c>
      <c r="D333" s="801" t="s">
        <v>31</v>
      </c>
      <c r="E333" s="783">
        <f t="shared" ref="E333:E334" si="612">E337</f>
        <v>924952.12424999988</v>
      </c>
      <c r="F333" s="783"/>
      <c r="G333" s="783">
        <f t="shared" ref="G333:J334" si="613">G324</f>
        <v>15756.390384615384</v>
      </c>
      <c r="H333" s="783">
        <f t="shared" si="613"/>
        <v>31754</v>
      </c>
      <c r="I333" s="783">
        <f t="shared" si="613"/>
        <v>9397.9480357142857</v>
      </c>
      <c r="J333" s="783">
        <f t="shared" si="613"/>
        <v>19023.2847</v>
      </c>
      <c r="K333" s="776">
        <f t="shared" si="606"/>
        <v>1000883.7473703296</v>
      </c>
      <c r="L333" s="776">
        <f t="shared" si="607"/>
        <v>150132.56210554944</v>
      </c>
      <c r="M333" s="776">
        <f t="shared" si="608"/>
        <v>1151016.309475879</v>
      </c>
      <c r="N333" s="776">
        <f t="shared" si="609"/>
        <v>991485.79933461524</v>
      </c>
      <c r="O333" s="776">
        <f t="shared" si="610"/>
        <v>148722.86990019228</v>
      </c>
      <c r="P333" s="776">
        <f t="shared" si="611"/>
        <v>1140208.6692348076</v>
      </c>
      <c r="Q333" s="783">
        <f t="shared" ref="Q333:Q334" si="614">Q337</f>
        <v>28675.701153846148</v>
      </c>
    </row>
    <row r="334" spans="1:17" s="769" customFormat="1">
      <c r="A334" s="809" t="s">
        <v>767</v>
      </c>
      <c r="B334" s="810" t="s">
        <v>770</v>
      </c>
      <c r="C334" s="804" t="s">
        <v>51</v>
      </c>
      <c r="D334" s="801" t="s">
        <v>31</v>
      </c>
      <c r="E334" s="783">
        <f t="shared" si="612"/>
        <v>1156751.6730000002</v>
      </c>
      <c r="F334" s="783"/>
      <c r="G334" s="783">
        <f t="shared" si="613"/>
        <v>20483.307499999999</v>
      </c>
      <c r="H334" s="783">
        <f t="shared" si="613"/>
        <v>31754</v>
      </c>
      <c r="I334" s="783">
        <f t="shared" si="613"/>
        <v>12217.332446428572</v>
      </c>
      <c r="J334" s="783">
        <f t="shared" si="613"/>
        <v>24730.270110000001</v>
      </c>
      <c r="K334" s="776">
        <f t="shared" si="606"/>
        <v>1245936.5830564287</v>
      </c>
      <c r="L334" s="776">
        <f t="shared" si="607"/>
        <v>186890.48745846431</v>
      </c>
      <c r="M334" s="776">
        <f t="shared" si="608"/>
        <v>1432827.0705148929</v>
      </c>
      <c r="N334" s="776">
        <f t="shared" si="609"/>
        <v>1233719.2506100002</v>
      </c>
      <c r="O334" s="776">
        <f t="shared" si="610"/>
        <v>185057.88759150004</v>
      </c>
      <c r="P334" s="776">
        <f t="shared" si="611"/>
        <v>1418777.1382015003</v>
      </c>
      <c r="Q334" s="783">
        <f t="shared" si="614"/>
        <v>35762.231153846144</v>
      </c>
    </row>
    <row r="335" spans="1:17" s="769" customFormat="1">
      <c r="A335" s="771">
        <v>11.2</v>
      </c>
      <c r="B335" s="808" t="s">
        <v>772</v>
      </c>
      <c r="C335" s="804"/>
      <c r="D335" s="801"/>
      <c r="E335" s="783"/>
      <c r="F335" s="783"/>
      <c r="G335" s="783"/>
      <c r="H335" s="783"/>
      <c r="I335" s="783"/>
      <c r="J335" s="783"/>
      <c r="K335" s="776"/>
      <c r="L335" s="776"/>
      <c r="M335" s="776"/>
      <c r="N335" s="776"/>
      <c r="O335" s="776"/>
      <c r="P335" s="776"/>
      <c r="Q335" s="783"/>
    </row>
    <row r="336" spans="1:17" s="769" customFormat="1">
      <c r="A336" s="809" t="s">
        <v>767</v>
      </c>
      <c r="B336" s="810" t="s">
        <v>768</v>
      </c>
      <c r="C336" s="804" t="s">
        <v>51</v>
      </c>
      <c r="D336" s="801" t="s">
        <v>31</v>
      </c>
      <c r="E336" s="783">
        <f>NCong!M521</f>
        <v>746265.11849999987</v>
      </c>
      <c r="F336" s="783"/>
      <c r="G336" s="783">
        <f>G327</f>
        <v>9453.834230769231</v>
      </c>
      <c r="H336" s="783">
        <f t="shared" ref="H336:J336" si="615">H327</f>
        <v>10380.399999999998</v>
      </c>
      <c r="I336" s="783">
        <f t="shared" si="615"/>
        <v>5638.7688214285708</v>
      </c>
      <c r="J336" s="783">
        <f t="shared" si="615"/>
        <v>11413.97082</v>
      </c>
      <c r="K336" s="776">
        <f t="shared" ref="K336:K338" si="616">SUM(E336:J336)</f>
        <v>783152.09237219766</v>
      </c>
      <c r="L336" s="776">
        <f t="shared" ref="L336:L338" si="617">K336*15%</f>
        <v>117472.81385582965</v>
      </c>
      <c r="M336" s="776">
        <f t="shared" ref="M336:M338" si="618">K336+L336</f>
        <v>900624.90622802731</v>
      </c>
      <c r="N336" s="776">
        <f t="shared" ref="N336:N338" si="619">K336-I336</f>
        <v>777513.32355076913</v>
      </c>
      <c r="O336" s="776">
        <f t="shared" ref="O336:O338" si="620">$L$6*N336</f>
        <v>116626.99853261537</v>
      </c>
      <c r="P336" s="776">
        <f t="shared" ref="P336:P338" si="621">N336+O336</f>
        <v>894140.3220833845</v>
      </c>
      <c r="Q336" s="783">
        <f>NCong!P521</f>
        <v>23053.359999999997</v>
      </c>
    </row>
    <row r="337" spans="1:17" s="769" customFormat="1">
      <c r="A337" s="809" t="s">
        <v>767</v>
      </c>
      <c r="B337" s="810" t="s">
        <v>769</v>
      </c>
      <c r="C337" s="804" t="s">
        <v>51</v>
      </c>
      <c r="D337" s="801" t="s">
        <v>31</v>
      </c>
      <c r="E337" s="783">
        <f>NCong!N521</f>
        <v>924952.12424999988</v>
      </c>
      <c r="F337" s="783"/>
      <c r="G337" s="783">
        <f t="shared" ref="G337:J337" si="622">G328</f>
        <v>9453.834230769231</v>
      </c>
      <c r="H337" s="783">
        <f t="shared" si="622"/>
        <v>10380.399999999998</v>
      </c>
      <c r="I337" s="783">
        <f t="shared" si="622"/>
        <v>5638.7688214285708</v>
      </c>
      <c r="J337" s="783">
        <f t="shared" si="622"/>
        <v>11413.97082</v>
      </c>
      <c r="K337" s="776">
        <f t="shared" si="616"/>
        <v>961839.09812219767</v>
      </c>
      <c r="L337" s="776">
        <f t="shared" si="617"/>
        <v>144275.86471832966</v>
      </c>
      <c r="M337" s="776">
        <f t="shared" si="618"/>
        <v>1106114.9628405273</v>
      </c>
      <c r="N337" s="776">
        <f t="shared" si="619"/>
        <v>956200.32930076914</v>
      </c>
      <c r="O337" s="776">
        <f t="shared" si="620"/>
        <v>143430.04939511538</v>
      </c>
      <c r="P337" s="776">
        <f t="shared" si="621"/>
        <v>1099630.3786958845</v>
      </c>
      <c r="Q337" s="783">
        <f>NCong!Q521</f>
        <v>28675.701153846148</v>
      </c>
    </row>
    <row r="338" spans="1:17" s="769" customFormat="1">
      <c r="A338" s="809" t="s">
        <v>767</v>
      </c>
      <c r="B338" s="810" t="s">
        <v>770</v>
      </c>
      <c r="C338" s="804" t="s">
        <v>51</v>
      </c>
      <c r="D338" s="801" t="s">
        <v>31</v>
      </c>
      <c r="E338" s="783">
        <f>NCong!O521</f>
        <v>1156751.6730000002</v>
      </c>
      <c r="F338" s="783"/>
      <c r="G338" s="783">
        <f t="shared" ref="G338:J338" si="623">G329</f>
        <v>12289.984499999999</v>
      </c>
      <c r="H338" s="783">
        <f t="shared" si="623"/>
        <v>10380.399999999998</v>
      </c>
      <c r="I338" s="783">
        <f t="shared" si="623"/>
        <v>7330.3994678571435</v>
      </c>
      <c r="J338" s="783">
        <f t="shared" si="623"/>
        <v>14838.162066000001</v>
      </c>
      <c r="K338" s="776">
        <f t="shared" si="616"/>
        <v>1201590.6190338572</v>
      </c>
      <c r="L338" s="776">
        <f t="shared" si="617"/>
        <v>180238.59285507858</v>
      </c>
      <c r="M338" s="776">
        <f t="shared" si="618"/>
        <v>1381829.2118889359</v>
      </c>
      <c r="N338" s="776">
        <f t="shared" si="619"/>
        <v>1194260.2195660002</v>
      </c>
      <c r="O338" s="776">
        <f t="shared" si="620"/>
        <v>179139.03293490002</v>
      </c>
      <c r="P338" s="776">
        <f t="shared" si="621"/>
        <v>1373399.2525009001</v>
      </c>
      <c r="Q338" s="783">
        <f>NCong!R521</f>
        <v>35762.231153846144</v>
      </c>
    </row>
    <row r="339" spans="1:17" s="769" customFormat="1">
      <c r="A339" s="771">
        <v>12</v>
      </c>
      <c r="B339" s="808" t="s">
        <v>259</v>
      </c>
      <c r="C339" s="804" t="s">
        <v>51</v>
      </c>
      <c r="D339" s="801" t="s">
        <v>31</v>
      </c>
      <c r="E339" s="783"/>
      <c r="F339" s="783"/>
      <c r="G339" s="783"/>
      <c r="H339" s="783"/>
      <c r="I339" s="783"/>
      <c r="J339" s="783"/>
      <c r="K339" s="776"/>
      <c r="L339" s="776"/>
      <c r="M339" s="776"/>
      <c r="N339" s="776"/>
      <c r="O339" s="776"/>
      <c r="P339" s="776"/>
      <c r="Q339" s="783"/>
    </row>
    <row r="340" spans="1:17" s="769" customFormat="1">
      <c r="A340" s="771">
        <v>12.1</v>
      </c>
      <c r="B340" s="808" t="s">
        <v>771</v>
      </c>
      <c r="C340" s="804" t="s">
        <v>51</v>
      </c>
      <c r="D340" s="801" t="s">
        <v>31</v>
      </c>
      <c r="E340" s="783"/>
      <c r="F340" s="783"/>
      <c r="G340" s="783"/>
      <c r="H340" s="783"/>
      <c r="I340" s="783"/>
      <c r="J340" s="783"/>
      <c r="K340" s="776"/>
      <c r="L340" s="776"/>
      <c r="M340" s="776"/>
      <c r="N340" s="776"/>
      <c r="O340" s="776"/>
      <c r="P340" s="776"/>
      <c r="Q340" s="783"/>
    </row>
    <row r="341" spans="1:17" s="769" customFormat="1">
      <c r="A341" s="809" t="s">
        <v>767</v>
      </c>
      <c r="B341" s="810" t="s">
        <v>768</v>
      </c>
      <c r="C341" s="804" t="s">
        <v>51</v>
      </c>
      <c r="D341" s="801" t="s">
        <v>31</v>
      </c>
      <c r="E341" s="783">
        <f>E345</f>
        <v>744869.16569999978</v>
      </c>
      <c r="F341" s="783"/>
      <c r="G341" s="783">
        <f>G332</f>
        <v>15756.390384615384</v>
      </c>
      <c r="H341" s="783">
        <f t="shared" ref="H341:J341" si="624">H332</f>
        <v>31754</v>
      </c>
      <c r="I341" s="783">
        <f t="shared" si="624"/>
        <v>9397.9480357142857</v>
      </c>
      <c r="J341" s="783">
        <f t="shared" si="624"/>
        <v>19023.2847</v>
      </c>
      <c r="K341" s="776">
        <f t="shared" ref="K341:K343" si="625">SUM(E341:J341)</f>
        <v>820800.78882032947</v>
      </c>
      <c r="L341" s="776">
        <f t="shared" ref="L341:L343" si="626">K341*15%</f>
        <v>123120.11832304942</v>
      </c>
      <c r="M341" s="776">
        <f t="shared" ref="M341:M343" si="627">K341+L341</f>
        <v>943920.90714337886</v>
      </c>
      <c r="N341" s="776">
        <f t="shared" ref="N341:N343" si="628">K341-I341</f>
        <v>811402.84078461514</v>
      </c>
      <c r="O341" s="776">
        <f t="shared" ref="O341:O343" si="629">$L$6*N341</f>
        <v>121710.42611769226</v>
      </c>
      <c r="P341" s="776">
        <f t="shared" ref="P341:P343" si="630">N341+O341</f>
        <v>933113.2669023074</v>
      </c>
      <c r="Q341" s="783">
        <f>NCong!P522</f>
        <v>23015.682461538458</v>
      </c>
    </row>
    <row r="342" spans="1:17" s="769" customFormat="1">
      <c r="A342" s="809" t="s">
        <v>767</v>
      </c>
      <c r="B342" s="810" t="s">
        <v>769</v>
      </c>
      <c r="C342" s="804" t="s">
        <v>51</v>
      </c>
      <c r="D342" s="801" t="s">
        <v>31</v>
      </c>
      <c r="E342" s="783">
        <f t="shared" ref="E342:E343" si="631">E346</f>
        <v>923024.7575999999</v>
      </c>
      <c r="F342" s="783"/>
      <c r="G342" s="783">
        <f t="shared" ref="G342:J342" si="632">G333</f>
        <v>15756.390384615384</v>
      </c>
      <c r="H342" s="783">
        <f t="shared" si="632"/>
        <v>31754</v>
      </c>
      <c r="I342" s="783">
        <f t="shared" si="632"/>
        <v>9397.9480357142857</v>
      </c>
      <c r="J342" s="783">
        <f t="shared" si="632"/>
        <v>19023.2847</v>
      </c>
      <c r="K342" s="776">
        <f t="shared" si="625"/>
        <v>998956.38072032959</v>
      </c>
      <c r="L342" s="776">
        <f t="shared" si="626"/>
        <v>149843.45710804942</v>
      </c>
      <c r="M342" s="776">
        <f t="shared" si="627"/>
        <v>1148799.8378283791</v>
      </c>
      <c r="N342" s="776">
        <f t="shared" si="628"/>
        <v>989558.43268461525</v>
      </c>
      <c r="O342" s="776">
        <f t="shared" si="629"/>
        <v>148433.76490269229</v>
      </c>
      <c r="P342" s="776">
        <f t="shared" si="630"/>
        <v>1137992.1975873075</v>
      </c>
      <c r="Q342" s="783">
        <f>NCong!Q522</f>
        <v>28623.680461538457</v>
      </c>
    </row>
    <row r="343" spans="1:17" s="769" customFormat="1">
      <c r="A343" s="809" t="s">
        <v>767</v>
      </c>
      <c r="B343" s="810" t="s">
        <v>770</v>
      </c>
      <c r="C343" s="804" t="s">
        <v>51</v>
      </c>
      <c r="D343" s="801" t="s">
        <v>31</v>
      </c>
      <c r="E343" s="783">
        <f t="shared" si="631"/>
        <v>1153253.8594500001</v>
      </c>
      <c r="F343" s="783"/>
      <c r="G343" s="783">
        <f t="shared" ref="G343:J343" si="633">G334</f>
        <v>20483.307499999999</v>
      </c>
      <c r="H343" s="783">
        <f t="shared" si="633"/>
        <v>31754</v>
      </c>
      <c r="I343" s="783">
        <f t="shared" si="633"/>
        <v>12217.332446428572</v>
      </c>
      <c r="J343" s="783">
        <f t="shared" si="633"/>
        <v>24730.270110000001</v>
      </c>
      <c r="K343" s="776">
        <f t="shared" si="625"/>
        <v>1242438.7695064286</v>
      </c>
      <c r="L343" s="776">
        <f t="shared" si="626"/>
        <v>186365.81542596428</v>
      </c>
      <c r="M343" s="776">
        <f t="shared" si="627"/>
        <v>1428804.5849323929</v>
      </c>
      <c r="N343" s="776">
        <f t="shared" si="628"/>
        <v>1230221.4370600001</v>
      </c>
      <c r="O343" s="776">
        <f t="shared" si="629"/>
        <v>184533.215559</v>
      </c>
      <c r="P343" s="776">
        <f t="shared" si="630"/>
        <v>1414754.6526190001</v>
      </c>
      <c r="Q343" s="783">
        <f>NCong!R522</f>
        <v>35667.823230769223</v>
      </c>
    </row>
    <row r="344" spans="1:17" s="769" customFormat="1">
      <c r="A344" s="771">
        <v>12.2</v>
      </c>
      <c r="B344" s="808" t="s">
        <v>772</v>
      </c>
      <c r="C344" s="804"/>
      <c r="D344" s="801"/>
      <c r="E344" s="783"/>
      <c r="F344" s="783"/>
      <c r="G344" s="783"/>
      <c r="H344" s="783"/>
      <c r="I344" s="783"/>
      <c r="J344" s="783"/>
      <c r="K344" s="776"/>
      <c r="L344" s="776"/>
      <c r="M344" s="776"/>
      <c r="N344" s="776"/>
      <c r="O344" s="776"/>
      <c r="P344" s="776"/>
      <c r="Q344" s="783"/>
    </row>
    <row r="345" spans="1:17" s="769" customFormat="1">
      <c r="A345" s="809" t="s">
        <v>767</v>
      </c>
      <c r="B345" s="810" t="s">
        <v>768</v>
      </c>
      <c r="C345" s="804" t="s">
        <v>51</v>
      </c>
      <c r="D345" s="801" t="s">
        <v>31</v>
      </c>
      <c r="E345" s="783">
        <f>NCong!M522</f>
        <v>744869.16569999978</v>
      </c>
      <c r="F345" s="783"/>
      <c r="G345" s="783">
        <f>G336</f>
        <v>9453.834230769231</v>
      </c>
      <c r="H345" s="783">
        <f t="shared" ref="H345:J345" si="634">H336</f>
        <v>10380.399999999998</v>
      </c>
      <c r="I345" s="783">
        <f t="shared" si="634"/>
        <v>5638.7688214285708</v>
      </c>
      <c r="J345" s="783">
        <f t="shared" si="634"/>
        <v>11413.97082</v>
      </c>
      <c r="K345" s="776">
        <f t="shared" ref="K345:K347" si="635">SUM(E345:J345)</f>
        <v>781756.13957219757</v>
      </c>
      <c r="L345" s="776">
        <f t="shared" ref="L345:L347" si="636">K345*15%</f>
        <v>117263.42093582964</v>
      </c>
      <c r="M345" s="776">
        <f t="shared" ref="M345:M347" si="637">K345+L345</f>
        <v>899019.56050802721</v>
      </c>
      <c r="N345" s="776">
        <f t="shared" ref="N345:N347" si="638">K345-I345</f>
        <v>776117.37075076904</v>
      </c>
      <c r="O345" s="776">
        <f t="shared" ref="O345:O347" si="639">$L$6*N345</f>
        <v>116417.60561261536</v>
      </c>
      <c r="P345" s="776">
        <f t="shared" ref="P345:P347" si="640">N345+O345</f>
        <v>892534.9763633844</v>
      </c>
      <c r="Q345" s="783">
        <f>Q341</f>
        <v>23015.682461538458</v>
      </c>
    </row>
    <row r="346" spans="1:17" s="769" customFormat="1">
      <c r="A346" s="809" t="s">
        <v>767</v>
      </c>
      <c r="B346" s="810" t="s">
        <v>769</v>
      </c>
      <c r="C346" s="804" t="s">
        <v>51</v>
      </c>
      <c r="D346" s="801" t="s">
        <v>31</v>
      </c>
      <c r="E346" s="783">
        <f>NCong!N522</f>
        <v>923024.7575999999</v>
      </c>
      <c r="F346" s="783"/>
      <c r="G346" s="783">
        <f t="shared" ref="G346:J346" si="641">G337</f>
        <v>9453.834230769231</v>
      </c>
      <c r="H346" s="783">
        <f t="shared" si="641"/>
        <v>10380.399999999998</v>
      </c>
      <c r="I346" s="783">
        <f t="shared" si="641"/>
        <v>5638.7688214285708</v>
      </c>
      <c r="J346" s="783">
        <f t="shared" si="641"/>
        <v>11413.97082</v>
      </c>
      <c r="K346" s="776">
        <f t="shared" si="635"/>
        <v>959911.73147219769</v>
      </c>
      <c r="L346" s="776">
        <f t="shared" si="636"/>
        <v>143986.75972082964</v>
      </c>
      <c r="M346" s="776">
        <f t="shared" si="637"/>
        <v>1103898.4911930272</v>
      </c>
      <c r="N346" s="776">
        <f t="shared" si="638"/>
        <v>954272.96265076916</v>
      </c>
      <c r="O346" s="776">
        <f t="shared" si="639"/>
        <v>143140.94439761536</v>
      </c>
      <c r="P346" s="776">
        <f t="shared" si="640"/>
        <v>1097413.9070483844</v>
      </c>
      <c r="Q346" s="783">
        <f t="shared" ref="Q346:Q347" si="642">Q342</f>
        <v>28623.680461538457</v>
      </c>
    </row>
    <row r="347" spans="1:17" s="769" customFormat="1">
      <c r="A347" s="809" t="s">
        <v>767</v>
      </c>
      <c r="B347" s="810" t="s">
        <v>770</v>
      </c>
      <c r="C347" s="804" t="s">
        <v>51</v>
      </c>
      <c r="D347" s="801" t="s">
        <v>31</v>
      </c>
      <c r="E347" s="783">
        <f>NCong!O522</f>
        <v>1153253.8594500001</v>
      </c>
      <c r="F347" s="783"/>
      <c r="G347" s="783">
        <f t="shared" ref="G347:J347" si="643">G338</f>
        <v>12289.984499999999</v>
      </c>
      <c r="H347" s="783">
        <f t="shared" si="643"/>
        <v>10380.399999999998</v>
      </c>
      <c r="I347" s="783">
        <f t="shared" si="643"/>
        <v>7330.3994678571435</v>
      </c>
      <c r="J347" s="783">
        <f t="shared" si="643"/>
        <v>14838.162066000001</v>
      </c>
      <c r="K347" s="776">
        <f t="shared" si="635"/>
        <v>1198092.8054838572</v>
      </c>
      <c r="L347" s="776">
        <f t="shared" si="636"/>
        <v>179713.92082257857</v>
      </c>
      <c r="M347" s="776">
        <f t="shared" si="637"/>
        <v>1377806.7263064357</v>
      </c>
      <c r="N347" s="776">
        <f t="shared" si="638"/>
        <v>1190762.4060160001</v>
      </c>
      <c r="O347" s="776">
        <f t="shared" si="639"/>
        <v>178614.36090240002</v>
      </c>
      <c r="P347" s="776">
        <f t="shared" si="640"/>
        <v>1369376.7669184001</v>
      </c>
      <c r="Q347" s="783">
        <f t="shared" si="642"/>
        <v>35667.823230769223</v>
      </c>
    </row>
    <row r="348" spans="1:17" s="769" customFormat="1" ht="14">
      <c r="A348" s="771">
        <v>13</v>
      </c>
      <c r="B348" s="808" t="s">
        <v>260</v>
      </c>
      <c r="C348" s="804" t="s">
        <v>51</v>
      </c>
      <c r="D348" s="801" t="s">
        <v>31</v>
      </c>
      <c r="E348" s="783"/>
      <c r="F348" s="783"/>
      <c r="G348" s="783"/>
      <c r="H348" s="783"/>
      <c r="I348" s="783"/>
      <c r="J348" s="783"/>
      <c r="K348" s="776"/>
      <c r="L348" s="776"/>
      <c r="M348" s="776"/>
      <c r="N348" s="776"/>
      <c r="O348" s="776"/>
      <c r="P348" s="776"/>
      <c r="Q348" s="783"/>
    </row>
    <row r="349" spans="1:17" s="769" customFormat="1">
      <c r="A349" s="771">
        <v>13.1</v>
      </c>
      <c r="B349" s="808" t="s">
        <v>771</v>
      </c>
      <c r="C349" s="804" t="s">
        <v>51</v>
      </c>
      <c r="D349" s="801" t="s">
        <v>31</v>
      </c>
      <c r="E349" s="783"/>
      <c r="F349" s="783"/>
      <c r="G349" s="783"/>
      <c r="H349" s="783"/>
      <c r="I349" s="783"/>
      <c r="J349" s="783"/>
      <c r="K349" s="776"/>
      <c r="L349" s="776"/>
      <c r="M349" s="776"/>
      <c r="N349" s="776"/>
      <c r="O349" s="776"/>
      <c r="P349" s="776"/>
      <c r="Q349" s="783"/>
    </row>
    <row r="350" spans="1:17" s="769" customFormat="1">
      <c r="A350" s="809" t="s">
        <v>767</v>
      </c>
      <c r="B350" s="810" t="s">
        <v>768</v>
      </c>
      <c r="C350" s="804" t="s">
        <v>51</v>
      </c>
      <c r="D350" s="801" t="s">
        <v>31</v>
      </c>
      <c r="E350" s="783">
        <f>NCong!M523</f>
        <v>746265.11849999987</v>
      </c>
      <c r="F350" s="783"/>
      <c r="G350" s="783">
        <f t="shared" ref="G350:J352" si="644">G232</f>
        <v>15756.390384615384</v>
      </c>
      <c r="H350" s="783">
        <f t="shared" si="644"/>
        <v>31754</v>
      </c>
      <c r="I350" s="783">
        <f t="shared" si="644"/>
        <v>9397.9480357142857</v>
      </c>
      <c r="J350" s="783">
        <f t="shared" si="644"/>
        <v>19023.2847</v>
      </c>
      <c r="K350" s="776">
        <f t="shared" ref="K350:K352" si="645">SUM(E350:J350)</f>
        <v>822196.74162032956</v>
      </c>
      <c r="L350" s="776">
        <f t="shared" ref="L350:L352" si="646">K350*15%</f>
        <v>123329.51124304943</v>
      </c>
      <c r="M350" s="776">
        <f t="shared" ref="M350:M352" si="647">K350+L350</f>
        <v>945526.25286337896</v>
      </c>
      <c r="N350" s="776">
        <f t="shared" ref="N350:N352" si="648">K350-I350</f>
        <v>812798.79358461522</v>
      </c>
      <c r="O350" s="776">
        <f t="shared" ref="O350:O352" si="649">$L$6*N350</f>
        <v>121919.81903769227</v>
      </c>
      <c r="P350" s="776">
        <f t="shared" ref="P350:P352" si="650">N350+O350</f>
        <v>934718.6126223075</v>
      </c>
      <c r="Q350" s="783">
        <f>NCong!P523</f>
        <v>23053.359999999997</v>
      </c>
    </row>
    <row r="351" spans="1:17" s="769" customFormat="1">
      <c r="A351" s="809" t="s">
        <v>767</v>
      </c>
      <c r="B351" s="810" t="s">
        <v>769</v>
      </c>
      <c r="C351" s="804" t="s">
        <v>51</v>
      </c>
      <c r="D351" s="801" t="s">
        <v>31</v>
      </c>
      <c r="E351" s="783">
        <f>NCong!N523</f>
        <v>924952.12424999988</v>
      </c>
      <c r="F351" s="783"/>
      <c r="G351" s="783">
        <f t="shared" si="644"/>
        <v>15756.390384615384</v>
      </c>
      <c r="H351" s="783">
        <f t="shared" si="644"/>
        <v>31754</v>
      </c>
      <c r="I351" s="783">
        <f t="shared" si="644"/>
        <v>9397.9480357142857</v>
      </c>
      <c r="J351" s="783">
        <f t="shared" si="644"/>
        <v>19023.2847</v>
      </c>
      <c r="K351" s="776">
        <f t="shared" si="645"/>
        <v>1000883.7473703296</v>
      </c>
      <c r="L351" s="776">
        <f t="shared" si="646"/>
        <v>150132.56210554944</v>
      </c>
      <c r="M351" s="776">
        <f t="shared" si="647"/>
        <v>1151016.309475879</v>
      </c>
      <c r="N351" s="776">
        <f t="shared" si="648"/>
        <v>991485.79933461524</v>
      </c>
      <c r="O351" s="776">
        <f t="shared" si="649"/>
        <v>148722.86990019228</v>
      </c>
      <c r="P351" s="776">
        <f t="shared" si="650"/>
        <v>1140208.6692348076</v>
      </c>
      <c r="Q351" s="783">
        <f>NCong!Q523</f>
        <v>28675.701153846148</v>
      </c>
    </row>
    <row r="352" spans="1:17" s="769" customFormat="1">
      <c r="A352" s="809" t="s">
        <v>767</v>
      </c>
      <c r="B352" s="810" t="s">
        <v>770</v>
      </c>
      <c r="C352" s="804" t="s">
        <v>51</v>
      </c>
      <c r="D352" s="801" t="s">
        <v>31</v>
      </c>
      <c r="E352" s="783">
        <f>NCong!O523</f>
        <v>1156751.6730000002</v>
      </c>
      <c r="F352" s="783"/>
      <c r="G352" s="783">
        <f t="shared" si="644"/>
        <v>20483.307499999999</v>
      </c>
      <c r="H352" s="783">
        <f t="shared" si="644"/>
        <v>31754</v>
      </c>
      <c r="I352" s="783">
        <f t="shared" si="644"/>
        <v>12217.332446428572</v>
      </c>
      <c r="J352" s="783">
        <f t="shared" si="644"/>
        <v>24730.270110000001</v>
      </c>
      <c r="K352" s="776">
        <f t="shared" si="645"/>
        <v>1245936.5830564287</v>
      </c>
      <c r="L352" s="776">
        <f t="shared" si="646"/>
        <v>186890.48745846431</v>
      </c>
      <c r="M352" s="776">
        <f t="shared" si="647"/>
        <v>1432827.0705148929</v>
      </c>
      <c r="N352" s="776">
        <f t="shared" si="648"/>
        <v>1233719.2506100002</v>
      </c>
      <c r="O352" s="776">
        <f t="shared" si="649"/>
        <v>185057.88759150004</v>
      </c>
      <c r="P352" s="776">
        <f t="shared" si="650"/>
        <v>1418777.1382015003</v>
      </c>
      <c r="Q352" s="783">
        <f>NCong!R523</f>
        <v>35762.231153846144</v>
      </c>
    </row>
    <row r="353" spans="1:17" s="769" customFormat="1">
      <c r="A353" s="771">
        <v>13.2</v>
      </c>
      <c r="B353" s="808" t="s">
        <v>772</v>
      </c>
      <c r="C353" s="804" t="s">
        <v>51</v>
      </c>
      <c r="D353" s="801" t="s">
        <v>31</v>
      </c>
      <c r="E353" s="783"/>
      <c r="F353" s="783"/>
      <c r="G353" s="783"/>
      <c r="H353" s="783"/>
      <c r="I353" s="783"/>
      <c r="J353" s="783"/>
      <c r="K353" s="776"/>
      <c r="L353" s="776"/>
      <c r="M353" s="776"/>
      <c r="N353" s="776"/>
      <c r="O353" s="776"/>
      <c r="P353" s="776"/>
      <c r="Q353" s="783"/>
    </row>
    <row r="354" spans="1:17" s="769" customFormat="1">
      <c r="A354" s="809" t="s">
        <v>767</v>
      </c>
      <c r="B354" s="810" t="s">
        <v>768</v>
      </c>
      <c r="C354" s="804" t="s">
        <v>51</v>
      </c>
      <c r="D354" s="801" t="s">
        <v>31</v>
      </c>
      <c r="E354" s="783">
        <f>E350</f>
        <v>746265.11849999987</v>
      </c>
      <c r="F354" s="783"/>
      <c r="G354" s="783">
        <f>G345</f>
        <v>9453.834230769231</v>
      </c>
      <c r="H354" s="783">
        <f t="shared" ref="H354:J354" si="651">H345</f>
        <v>10380.399999999998</v>
      </c>
      <c r="I354" s="783">
        <f t="shared" si="651"/>
        <v>5638.7688214285708</v>
      </c>
      <c r="J354" s="783">
        <f t="shared" si="651"/>
        <v>11413.97082</v>
      </c>
      <c r="K354" s="776">
        <f t="shared" ref="K354:K356" si="652">SUM(E354:J354)</f>
        <v>783152.09237219766</v>
      </c>
      <c r="L354" s="776">
        <f t="shared" ref="L354:L356" si="653">K354*15%</f>
        <v>117472.81385582965</v>
      </c>
      <c r="M354" s="776">
        <f t="shared" ref="M354:M356" si="654">K354+L354</f>
        <v>900624.90622802731</v>
      </c>
      <c r="N354" s="776">
        <f t="shared" ref="N354:N356" si="655">K354-I354</f>
        <v>777513.32355076913</v>
      </c>
      <c r="O354" s="776">
        <f t="shared" ref="O354:O356" si="656">$L$6*N354</f>
        <v>116626.99853261537</v>
      </c>
      <c r="P354" s="776">
        <f t="shared" ref="P354:P356" si="657">N354+O354</f>
        <v>894140.3220833845</v>
      </c>
      <c r="Q354" s="783">
        <f>Q350</f>
        <v>23053.359999999997</v>
      </c>
    </row>
    <row r="355" spans="1:17" s="769" customFormat="1">
      <c r="A355" s="809" t="s">
        <v>767</v>
      </c>
      <c r="B355" s="810" t="s">
        <v>769</v>
      </c>
      <c r="C355" s="804" t="s">
        <v>51</v>
      </c>
      <c r="D355" s="801" t="s">
        <v>31</v>
      </c>
      <c r="E355" s="783">
        <f t="shared" ref="E355:E356" si="658">E351</f>
        <v>924952.12424999988</v>
      </c>
      <c r="F355" s="783"/>
      <c r="G355" s="783">
        <f t="shared" ref="G355:J356" si="659">G346</f>
        <v>9453.834230769231</v>
      </c>
      <c r="H355" s="783">
        <f t="shared" si="659"/>
        <v>10380.399999999998</v>
      </c>
      <c r="I355" s="783">
        <f t="shared" si="659"/>
        <v>5638.7688214285708</v>
      </c>
      <c r="J355" s="783">
        <f t="shared" si="659"/>
        <v>11413.97082</v>
      </c>
      <c r="K355" s="776">
        <f t="shared" si="652"/>
        <v>961839.09812219767</v>
      </c>
      <c r="L355" s="776">
        <f t="shared" si="653"/>
        <v>144275.86471832966</v>
      </c>
      <c r="M355" s="776">
        <f t="shared" si="654"/>
        <v>1106114.9628405273</v>
      </c>
      <c r="N355" s="776">
        <f t="shared" si="655"/>
        <v>956200.32930076914</v>
      </c>
      <c r="O355" s="776">
        <f t="shared" si="656"/>
        <v>143430.04939511538</v>
      </c>
      <c r="P355" s="776">
        <f t="shared" si="657"/>
        <v>1099630.3786958845</v>
      </c>
      <c r="Q355" s="783">
        <f t="shared" ref="Q355:Q356" si="660">Q351</f>
        <v>28675.701153846148</v>
      </c>
    </row>
    <row r="356" spans="1:17" s="769" customFormat="1">
      <c r="A356" s="809" t="s">
        <v>767</v>
      </c>
      <c r="B356" s="810" t="s">
        <v>770</v>
      </c>
      <c r="C356" s="804" t="s">
        <v>51</v>
      </c>
      <c r="D356" s="801" t="s">
        <v>31</v>
      </c>
      <c r="E356" s="783">
        <f t="shared" si="658"/>
        <v>1156751.6730000002</v>
      </c>
      <c r="F356" s="783"/>
      <c r="G356" s="783">
        <f t="shared" si="659"/>
        <v>12289.984499999999</v>
      </c>
      <c r="H356" s="783">
        <f t="shared" si="659"/>
        <v>10380.399999999998</v>
      </c>
      <c r="I356" s="783">
        <f t="shared" si="659"/>
        <v>7330.3994678571435</v>
      </c>
      <c r="J356" s="783">
        <f t="shared" si="659"/>
        <v>14838.162066000001</v>
      </c>
      <c r="K356" s="776">
        <f t="shared" si="652"/>
        <v>1201590.6190338572</v>
      </c>
      <c r="L356" s="776">
        <f t="shared" si="653"/>
        <v>180238.59285507858</v>
      </c>
      <c r="M356" s="776">
        <f t="shared" si="654"/>
        <v>1381829.2118889359</v>
      </c>
      <c r="N356" s="776">
        <f t="shared" si="655"/>
        <v>1194260.2195660002</v>
      </c>
      <c r="O356" s="776">
        <f t="shared" si="656"/>
        <v>179139.03293490002</v>
      </c>
      <c r="P356" s="776">
        <f t="shared" si="657"/>
        <v>1373399.2525009001</v>
      </c>
      <c r="Q356" s="783">
        <f t="shared" si="660"/>
        <v>35762.231153846144</v>
      </c>
    </row>
    <row r="357" spans="1:17" s="769" customFormat="1" ht="14">
      <c r="A357" s="771">
        <v>14</v>
      </c>
      <c r="B357" s="808" t="s">
        <v>261</v>
      </c>
      <c r="C357" s="804" t="s">
        <v>51</v>
      </c>
      <c r="D357" s="801" t="s">
        <v>31</v>
      </c>
      <c r="E357" s="783"/>
      <c r="F357" s="783"/>
      <c r="G357" s="783"/>
      <c r="H357" s="783"/>
      <c r="I357" s="783"/>
      <c r="J357" s="783"/>
      <c r="K357" s="776"/>
      <c r="L357" s="776"/>
      <c r="M357" s="776"/>
      <c r="N357" s="776"/>
      <c r="O357" s="776"/>
      <c r="P357" s="776"/>
      <c r="Q357" s="783"/>
    </row>
    <row r="358" spans="1:17" s="769" customFormat="1">
      <c r="A358" s="771">
        <v>14.1</v>
      </c>
      <c r="B358" s="808" t="s">
        <v>771</v>
      </c>
      <c r="C358" s="804" t="s">
        <v>51</v>
      </c>
      <c r="D358" s="801" t="s">
        <v>31</v>
      </c>
      <c r="E358" s="783"/>
      <c r="F358" s="783"/>
      <c r="G358" s="783"/>
      <c r="H358" s="783"/>
      <c r="I358" s="783"/>
      <c r="J358" s="783"/>
      <c r="K358" s="776"/>
      <c r="L358" s="776"/>
      <c r="M358" s="776"/>
      <c r="N358" s="776"/>
      <c r="O358" s="776"/>
      <c r="P358" s="776"/>
      <c r="Q358" s="783"/>
    </row>
    <row r="359" spans="1:17" s="769" customFormat="1">
      <c r="A359" s="809" t="s">
        <v>767</v>
      </c>
      <c r="B359" s="810" t="s">
        <v>768</v>
      </c>
      <c r="C359" s="804" t="s">
        <v>51</v>
      </c>
      <c r="D359" s="801" t="s">
        <v>31</v>
      </c>
      <c r="E359" s="783">
        <f>NCong!M524</f>
        <v>743473.21289999981</v>
      </c>
      <c r="F359" s="783"/>
      <c r="G359" s="783">
        <f t="shared" ref="G359:J361" si="661">G232</f>
        <v>15756.390384615384</v>
      </c>
      <c r="H359" s="783">
        <f t="shared" si="661"/>
        <v>31754</v>
      </c>
      <c r="I359" s="783">
        <f t="shared" si="661"/>
        <v>9397.9480357142857</v>
      </c>
      <c r="J359" s="783">
        <f t="shared" si="661"/>
        <v>19023.2847</v>
      </c>
      <c r="K359" s="776">
        <f t="shared" ref="K359:K361" si="662">SUM(E359:J359)</f>
        <v>819404.8360203295</v>
      </c>
      <c r="L359" s="776">
        <f t="shared" ref="L359:L361" si="663">K359*15%</f>
        <v>122910.72540304942</v>
      </c>
      <c r="M359" s="776">
        <f t="shared" ref="M359:M361" si="664">K359+L359</f>
        <v>942315.56142337888</v>
      </c>
      <c r="N359" s="776">
        <f t="shared" ref="N359:N361" si="665">K359-I359</f>
        <v>810006.88798461517</v>
      </c>
      <c r="O359" s="776">
        <f t="shared" ref="O359:O361" si="666">$L$6*N359</f>
        <v>121501.03319769228</v>
      </c>
      <c r="P359" s="776">
        <f t="shared" ref="P359:P361" si="667">N359+O359</f>
        <v>931507.92118230741</v>
      </c>
      <c r="Q359" s="783">
        <f>NCong!P524</f>
        <v>22978.004923076922</v>
      </c>
    </row>
    <row r="360" spans="1:17" s="769" customFormat="1">
      <c r="A360" s="809" t="s">
        <v>767</v>
      </c>
      <c r="B360" s="810" t="s">
        <v>769</v>
      </c>
      <c r="C360" s="804" t="s">
        <v>51</v>
      </c>
      <c r="D360" s="801" t="s">
        <v>31</v>
      </c>
      <c r="E360" s="783">
        <f>NCong!N524</f>
        <v>921097.3909499998</v>
      </c>
      <c r="F360" s="783"/>
      <c r="G360" s="783">
        <f t="shared" si="661"/>
        <v>15756.390384615384</v>
      </c>
      <c r="H360" s="783">
        <f t="shared" si="661"/>
        <v>31754</v>
      </c>
      <c r="I360" s="783">
        <f t="shared" si="661"/>
        <v>9397.9480357142857</v>
      </c>
      <c r="J360" s="783">
        <f t="shared" si="661"/>
        <v>19023.2847</v>
      </c>
      <c r="K360" s="776">
        <f t="shared" si="662"/>
        <v>997029.01407032949</v>
      </c>
      <c r="L360" s="776">
        <f t="shared" si="663"/>
        <v>149554.35211054943</v>
      </c>
      <c r="M360" s="776">
        <f t="shared" si="664"/>
        <v>1146583.3661808788</v>
      </c>
      <c r="N360" s="776">
        <f t="shared" si="665"/>
        <v>987631.06603461516</v>
      </c>
      <c r="O360" s="776">
        <f t="shared" si="666"/>
        <v>148144.65990519227</v>
      </c>
      <c r="P360" s="776">
        <f t="shared" si="667"/>
        <v>1135775.7259398075</v>
      </c>
      <c r="Q360" s="783">
        <f>NCong!Q524</f>
        <v>28571.659769230766</v>
      </c>
    </row>
    <row r="361" spans="1:17" s="769" customFormat="1">
      <c r="A361" s="809" t="s">
        <v>767</v>
      </c>
      <c r="B361" s="810" t="s">
        <v>770</v>
      </c>
      <c r="C361" s="804" t="s">
        <v>51</v>
      </c>
      <c r="D361" s="801" t="s">
        <v>31</v>
      </c>
      <c r="E361" s="783">
        <f>NCong!O524</f>
        <v>1149756.0459</v>
      </c>
      <c r="F361" s="783"/>
      <c r="G361" s="783">
        <f t="shared" si="661"/>
        <v>20483.307499999999</v>
      </c>
      <c r="H361" s="783">
        <f t="shared" si="661"/>
        <v>31754</v>
      </c>
      <c r="I361" s="783">
        <f t="shared" si="661"/>
        <v>12217.332446428572</v>
      </c>
      <c r="J361" s="783">
        <f t="shared" si="661"/>
        <v>24730.270110000001</v>
      </c>
      <c r="K361" s="776">
        <f t="shared" si="662"/>
        <v>1238940.9559564285</v>
      </c>
      <c r="L361" s="776">
        <f t="shared" si="663"/>
        <v>185841.14339346427</v>
      </c>
      <c r="M361" s="776">
        <f t="shared" si="664"/>
        <v>1424782.0993498927</v>
      </c>
      <c r="N361" s="776">
        <f t="shared" si="665"/>
        <v>1226723.6235100001</v>
      </c>
      <c r="O361" s="776">
        <f t="shared" si="666"/>
        <v>184008.5435265</v>
      </c>
      <c r="P361" s="776">
        <f t="shared" si="667"/>
        <v>1410732.1670365001</v>
      </c>
      <c r="Q361" s="783">
        <f>NCong!R524</f>
        <v>35573.415307692303</v>
      </c>
    </row>
    <row r="362" spans="1:17" s="769" customFormat="1">
      <c r="A362" s="771">
        <v>14.2</v>
      </c>
      <c r="B362" s="808" t="s">
        <v>772</v>
      </c>
      <c r="C362" s="804" t="s">
        <v>51</v>
      </c>
      <c r="D362" s="801" t="s">
        <v>31</v>
      </c>
      <c r="E362" s="783"/>
      <c r="F362" s="783"/>
      <c r="G362" s="783"/>
      <c r="H362" s="783"/>
      <c r="I362" s="783"/>
      <c r="J362" s="783"/>
      <c r="K362" s="776"/>
      <c r="L362" s="776"/>
      <c r="M362" s="776"/>
      <c r="N362" s="776"/>
      <c r="O362" s="776"/>
      <c r="P362" s="776"/>
      <c r="Q362" s="783"/>
    </row>
    <row r="363" spans="1:17" s="769" customFormat="1">
      <c r="A363" s="809" t="s">
        <v>767</v>
      </c>
      <c r="B363" s="810" t="s">
        <v>768</v>
      </c>
      <c r="C363" s="804" t="s">
        <v>51</v>
      </c>
      <c r="D363" s="801" t="s">
        <v>31</v>
      </c>
      <c r="E363" s="783">
        <f>E359</f>
        <v>743473.21289999981</v>
      </c>
      <c r="F363" s="783"/>
      <c r="G363" s="783">
        <f>G354</f>
        <v>9453.834230769231</v>
      </c>
      <c r="H363" s="783">
        <f t="shared" ref="H363:J363" si="668">H354</f>
        <v>10380.399999999998</v>
      </c>
      <c r="I363" s="783">
        <f t="shared" si="668"/>
        <v>5638.7688214285708</v>
      </c>
      <c r="J363" s="783">
        <f t="shared" si="668"/>
        <v>11413.97082</v>
      </c>
      <c r="K363" s="776">
        <f t="shared" ref="K363:K365" si="669">SUM(E363:J363)</f>
        <v>780360.1867721976</v>
      </c>
      <c r="L363" s="776">
        <f t="shared" ref="L363:L365" si="670">K363*15%</f>
        <v>117054.02801582964</v>
      </c>
      <c r="M363" s="776">
        <f t="shared" ref="M363:M365" si="671">K363+L363</f>
        <v>897414.21478802722</v>
      </c>
      <c r="N363" s="776">
        <f t="shared" ref="N363:N365" si="672">K363-I363</f>
        <v>774721.41795076907</v>
      </c>
      <c r="O363" s="776">
        <f t="shared" ref="O363:O365" si="673">$L$6*N363</f>
        <v>116208.21269261536</v>
      </c>
      <c r="P363" s="776">
        <f t="shared" ref="P363:P365" si="674">N363+O363</f>
        <v>890929.63064338441</v>
      </c>
      <c r="Q363" s="783">
        <f>Q359</f>
        <v>22978.004923076922</v>
      </c>
    </row>
    <row r="364" spans="1:17" s="769" customFormat="1">
      <c r="A364" s="809" t="s">
        <v>767</v>
      </c>
      <c r="B364" s="810" t="s">
        <v>769</v>
      </c>
      <c r="C364" s="804" t="s">
        <v>51</v>
      </c>
      <c r="D364" s="801" t="s">
        <v>31</v>
      </c>
      <c r="E364" s="783">
        <f t="shared" ref="E364:E365" si="675">E360</f>
        <v>921097.3909499998</v>
      </c>
      <c r="F364" s="783"/>
      <c r="G364" s="783">
        <f t="shared" ref="G364:J364" si="676">G355</f>
        <v>9453.834230769231</v>
      </c>
      <c r="H364" s="783">
        <f t="shared" si="676"/>
        <v>10380.399999999998</v>
      </c>
      <c r="I364" s="783">
        <f t="shared" si="676"/>
        <v>5638.7688214285708</v>
      </c>
      <c r="J364" s="783">
        <f t="shared" si="676"/>
        <v>11413.97082</v>
      </c>
      <c r="K364" s="776">
        <f t="shared" si="669"/>
        <v>957984.36482219759</v>
      </c>
      <c r="L364" s="776">
        <f t="shared" si="670"/>
        <v>143697.65472332964</v>
      </c>
      <c r="M364" s="776">
        <f t="shared" si="671"/>
        <v>1101682.0195455272</v>
      </c>
      <c r="N364" s="776">
        <f t="shared" si="672"/>
        <v>952345.59600076906</v>
      </c>
      <c r="O364" s="776">
        <f t="shared" si="673"/>
        <v>142851.83940011536</v>
      </c>
      <c r="P364" s="776">
        <f t="shared" si="674"/>
        <v>1095197.4354008844</v>
      </c>
      <c r="Q364" s="783">
        <f t="shared" ref="Q364:Q365" si="677">Q360</f>
        <v>28571.659769230766</v>
      </c>
    </row>
    <row r="365" spans="1:17" s="769" customFormat="1">
      <c r="A365" s="809" t="s">
        <v>767</v>
      </c>
      <c r="B365" s="810" t="s">
        <v>770</v>
      </c>
      <c r="C365" s="804" t="s">
        <v>51</v>
      </c>
      <c r="D365" s="801" t="s">
        <v>31</v>
      </c>
      <c r="E365" s="783">
        <f t="shared" si="675"/>
        <v>1149756.0459</v>
      </c>
      <c r="F365" s="783"/>
      <c r="G365" s="783">
        <f t="shared" ref="G365:J365" si="678">G356</f>
        <v>12289.984499999999</v>
      </c>
      <c r="H365" s="783">
        <f t="shared" si="678"/>
        <v>10380.399999999998</v>
      </c>
      <c r="I365" s="783">
        <f t="shared" si="678"/>
        <v>7330.3994678571435</v>
      </c>
      <c r="J365" s="783">
        <f t="shared" si="678"/>
        <v>14838.162066000001</v>
      </c>
      <c r="K365" s="776">
        <f t="shared" si="669"/>
        <v>1194594.9919338571</v>
      </c>
      <c r="L365" s="776">
        <f t="shared" si="670"/>
        <v>179189.24879007856</v>
      </c>
      <c r="M365" s="776">
        <f t="shared" si="671"/>
        <v>1373784.2407239357</v>
      </c>
      <c r="N365" s="776">
        <f t="shared" si="672"/>
        <v>1187264.592466</v>
      </c>
      <c r="O365" s="776">
        <f t="shared" si="673"/>
        <v>178089.68886989998</v>
      </c>
      <c r="P365" s="776">
        <f t="shared" si="674"/>
        <v>1365354.2813359001</v>
      </c>
      <c r="Q365" s="783">
        <f t="shared" si="677"/>
        <v>35573.415307692303</v>
      </c>
    </row>
    <row r="366" spans="1:17" s="769" customFormat="1" ht="14">
      <c r="A366" s="771">
        <v>15</v>
      </c>
      <c r="B366" s="808" t="s">
        <v>262</v>
      </c>
      <c r="C366" s="804" t="s">
        <v>51</v>
      </c>
      <c r="D366" s="801" t="s">
        <v>31</v>
      </c>
      <c r="E366" s="783"/>
      <c r="F366" s="783"/>
      <c r="G366" s="783"/>
      <c r="H366" s="783"/>
      <c r="I366" s="783"/>
      <c r="J366" s="783"/>
      <c r="K366" s="776"/>
      <c r="L366" s="776"/>
      <c r="M366" s="776"/>
      <c r="N366" s="776"/>
      <c r="O366" s="776"/>
      <c r="P366" s="776"/>
      <c r="Q366" s="783"/>
    </row>
    <row r="367" spans="1:17" s="769" customFormat="1">
      <c r="A367" s="771">
        <v>15.1</v>
      </c>
      <c r="B367" s="808" t="s">
        <v>771</v>
      </c>
      <c r="C367" s="804" t="s">
        <v>51</v>
      </c>
      <c r="D367" s="801" t="s">
        <v>31</v>
      </c>
      <c r="E367" s="783">
        <f>NCong!M525</f>
        <v>743473.21289999981</v>
      </c>
      <c r="F367" s="783"/>
      <c r="G367" s="783">
        <f t="shared" ref="G367:J369" si="679">G232</f>
        <v>15756.390384615384</v>
      </c>
      <c r="H367" s="783">
        <f t="shared" si="679"/>
        <v>31754</v>
      </c>
      <c r="I367" s="783">
        <f t="shared" si="679"/>
        <v>9397.9480357142857</v>
      </c>
      <c r="J367" s="783">
        <f t="shared" si="679"/>
        <v>19023.2847</v>
      </c>
      <c r="K367" s="776">
        <f t="shared" ref="K367:K369" si="680">SUM(E367:J367)</f>
        <v>819404.8360203295</v>
      </c>
      <c r="L367" s="776">
        <f t="shared" ref="L367:L369" si="681">K367*15%</f>
        <v>122910.72540304942</v>
      </c>
      <c r="M367" s="776">
        <f t="shared" ref="M367:M369" si="682">K367+L367</f>
        <v>942315.56142337888</v>
      </c>
      <c r="N367" s="776">
        <f t="shared" ref="N367:N369" si="683">K367-I367</f>
        <v>810006.88798461517</v>
      </c>
      <c r="O367" s="776">
        <f t="shared" ref="O367:O369" si="684">$L$6*N367</f>
        <v>121501.03319769228</v>
      </c>
      <c r="P367" s="776">
        <f t="shared" ref="P367:P369" si="685">N367+O367</f>
        <v>931507.92118230741</v>
      </c>
      <c r="Q367" s="783">
        <f>NCong!P525</f>
        <v>22978.004923076922</v>
      </c>
    </row>
    <row r="368" spans="1:17" s="769" customFormat="1">
      <c r="A368" s="809" t="s">
        <v>767</v>
      </c>
      <c r="B368" s="810" t="s">
        <v>768</v>
      </c>
      <c r="C368" s="804" t="s">
        <v>51</v>
      </c>
      <c r="D368" s="801" t="s">
        <v>31</v>
      </c>
      <c r="E368" s="783">
        <f>NCong!N525</f>
        <v>921097.3909499998</v>
      </c>
      <c r="F368" s="783"/>
      <c r="G368" s="783">
        <f t="shared" si="679"/>
        <v>15756.390384615384</v>
      </c>
      <c r="H368" s="783">
        <f t="shared" si="679"/>
        <v>31754</v>
      </c>
      <c r="I368" s="783">
        <f t="shared" si="679"/>
        <v>9397.9480357142857</v>
      </c>
      <c r="J368" s="783">
        <f t="shared" si="679"/>
        <v>19023.2847</v>
      </c>
      <c r="K368" s="776">
        <f t="shared" si="680"/>
        <v>997029.01407032949</v>
      </c>
      <c r="L368" s="776">
        <f t="shared" si="681"/>
        <v>149554.35211054943</v>
      </c>
      <c r="M368" s="776">
        <f t="shared" si="682"/>
        <v>1146583.3661808788</v>
      </c>
      <c r="N368" s="776">
        <f t="shared" si="683"/>
        <v>987631.06603461516</v>
      </c>
      <c r="O368" s="776">
        <f t="shared" si="684"/>
        <v>148144.65990519227</v>
      </c>
      <c r="P368" s="776">
        <f t="shared" si="685"/>
        <v>1135775.7259398075</v>
      </c>
      <c r="Q368" s="783">
        <f>NCong!Q525</f>
        <v>28571.659769230766</v>
      </c>
    </row>
    <row r="369" spans="1:17" s="769" customFormat="1">
      <c r="A369" s="809" t="s">
        <v>767</v>
      </c>
      <c r="B369" s="810" t="s">
        <v>769</v>
      </c>
      <c r="C369" s="804" t="s">
        <v>51</v>
      </c>
      <c r="D369" s="801" t="s">
        <v>31</v>
      </c>
      <c r="E369" s="783">
        <f>NCong!O525</f>
        <v>1149756.0459</v>
      </c>
      <c r="F369" s="783"/>
      <c r="G369" s="783">
        <f t="shared" si="679"/>
        <v>20483.307499999999</v>
      </c>
      <c r="H369" s="783">
        <f t="shared" si="679"/>
        <v>31754</v>
      </c>
      <c r="I369" s="783">
        <f t="shared" si="679"/>
        <v>12217.332446428572</v>
      </c>
      <c r="J369" s="783">
        <f t="shared" si="679"/>
        <v>24730.270110000001</v>
      </c>
      <c r="K369" s="776">
        <f t="shared" si="680"/>
        <v>1238940.9559564285</v>
      </c>
      <c r="L369" s="776">
        <f t="shared" si="681"/>
        <v>185841.14339346427</v>
      </c>
      <c r="M369" s="776">
        <f t="shared" si="682"/>
        <v>1424782.0993498927</v>
      </c>
      <c r="N369" s="776">
        <f t="shared" si="683"/>
        <v>1226723.6235100001</v>
      </c>
      <c r="O369" s="776">
        <f t="shared" si="684"/>
        <v>184008.5435265</v>
      </c>
      <c r="P369" s="776">
        <f t="shared" si="685"/>
        <v>1410732.1670365001</v>
      </c>
      <c r="Q369" s="783">
        <f>NCong!R525</f>
        <v>35573.415307692303</v>
      </c>
    </row>
    <row r="370" spans="1:17" s="769" customFormat="1">
      <c r="A370" s="809" t="s">
        <v>767</v>
      </c>
      <c r="B370" s="810" t="s">
        <v>770</v>
      </c>
      <c r="C370" s="804" t="s">
        <v>51</v>
      </c>
      <c r="D370" s="801" t="s">
        <v>31</v>
      </c>
      <c r="E370" s="783"/>
      <c r="F370" s="783"/>
      <c r="G370" s="783"/>
      <c r="H370" s="783"/>
      <c r="I370" s="783"/>
      <c r="J370" s="783"/>
      <c r="K370" s="776"/>
      <c r="L370" s="776"/>
      <c r="M370" s="776"/>
      <c r="N370" s="776"/>
      <c r="O370" s="776"/>
      <c r="P370" s="776"/>
      <c r="Q370" s="783"/>
    </row>
    <row r="371" spans="1:17" s="769" customFormat="1">
      <c r="A371" s="771">
        <v>15.2</v>
      </c>
      <c r="B371" s="808" t="s">
        <v>772</v>
      </c>
      <c r="C371" s="804" t="s">
        <v>51</v>
      </c>
      <c r="D371" s="801" t="s">
        <v>31</v>
      </c>
      <c r="E371" s="783"/>
      <c r="F371" s="783"/>
      <c r="G371" s="783"/>
      <c r="H371" s="783"/>
      <c r="I371" s="783"/>
      <c r="J371" s="783"/>
      <c r="K371" s="776"/>
      <c r="L371" s="776"/>
      <c r="M371" s="776"/>
      <c r="N371" s="776"/>
      <c r="O371" s="776"/>
      <c r="P371" s="776"/>
      <c r="Q371" s="783"/>
    </row>
    <row r="372" spans="1:17" s="769" customFormat="1">
      <c r="A372" s="809" t="s">
        <v>767</v>
      </c>
      <c r="B372" s="810" t="s">
        <v>768</v>
      </c>
      <c r="C372" s="804" t="s">
        <v>51</v>
      </c>
      <c r="D372" s="801" t="s">
        <v>31</v>
      </c>
      <c r="E372" s="783">
        <f>E367</f>
        <v>743473.21289999981</v>
      </c>
      <c r="F372" s="783"/>
      <c r="G372" s="783">
        <f>G363</f>
        <v>9453.834230769231</v>
      </c>
      <c r="H372" s="783">
        <f t="shared" ref="H372:J372" si="686">H363</f>
        <v>10380.399999999998</v>
      </c>
      <c r="I372" s="783">
        <f t="shared" si="686"/>
        <v>5638.7688214285708</v>
      </c>
      <c r="J372" s="783">
        <f t="shared" si="686"/>
        <v>11413.97082</v>
      </c>
      <c r="K372" s="776">
        <f t="shared" ref="K372:K374" si="687">SUM(E372:J372)</f>
        <v>780360.1867721976</v>
      </c>
      <c r="L372" s="776">
        <f t="shared" ref="L372:L374" si="688">K372*15%</f>
        <v>117054.02801582964</v>
      </c>
      <c r="M372" s="776">
        <f t="shared" ref="M372:M374" si="689">K372+L372</f>
        <v>897414.21478802722</v>
      </c>
      <c r="N372" s="776">
        <f t="shared" ref="N372:N374" si="690">K372-I372</f>
        <v>774721.41795076907</v>
      </c>
      <c r="O372" s="776">
        <f t="shared" ref="O372:O374" si="691">$L$6*N372</f>
        <v>116208.21269261536</v>
      </c>
      <c r="P372" s="776">
        <f t="shared" ref="P372:P374" si="692">N372+O372</f>
        <v>890929.63064338441</v>
      </c>
      <c r="Q372" s="783">
        <f>Q367</f>
        <v>22978.004923076922</v>
      </c>
    </row>
    <row r="373" spans="1:17" s="769" customFormat="1">
      <c r="A373" s="809" t="s">
        <v>767</v>
      </c>
      <c r="B373" s="810" t="s">
        <v>769</v>
      </c>
      <c r="C373" s="804" t="s">
        <v>51</v>
      </c>
      <c r="D373" s="801" t="s">
        <v>31</v>
      </c>
      <c r="E373" s="783">
        <f t="shared" ref="E373:E374" si="693">E368</f>
        <v>921097.3909499998</v>
      </c>
      <c r="F373" s="783"/>
      <c r="G373" s="783">
        <f t="shared" ref="G373:J373" si="694">G364</f>
        <v>9453.834230769231</v>
      </c>
      <c r="H373" s="783">
        <f t="shared" si="694"/>
        <v>10380.399999999998</v>
      </c>
      <c r="I373" s="783">
        <f t="shared" si="694"/>
        <v>5638.7688214285708</v>
      </c>
      <c r="J373" s="783">
        <f t="shared" si="694"/>
        <v>11413.97082</v>
      </c>
      <c r="K373" s="776">
        <f t="shared" si="687"/>
        <v>957984.36482219759</v>
      </c>
      <c r="L373" s="776">
        <f t="shared" si="688"/>
        <v>143697.65472332964</v>
      </c>
      <c r="M373" s="776">
        <f t="shared" si="689"/>
        <v>1101682.0195455272</v>
      </c>
      <c r="N373" s="776">
        <f t="shared" si="690"/>
        <v>952345.59600076906</v>
      </c>
      <c r="O373" s="776">
        <f t="shared" si="691"/>
        <v>142851.83940011536</v>
      </c>
      <c r="P373" s="776">
        <f t="shared" si="692"/>
        <v>1095197.4354008844</v>
      </c>
      <c r="Q373" s="783">
        <f t="shared" ref="Q373:Q374" si="695">Q368</f>
        <v>28571.659769230766</v>
      </c>
    </row>
    <row r="374" spans="1:17" s="769" customFormat="1">
      <c r="A374" s="809" t="s">
        <v>767</v>
      </c>
      <c r="B374" s="810" t="s">
        <v>770</v>
      </c>
      <c r="C374" s="804" t="s">
        <v>51</v>
      </c>
      <c r="D374" s="801" t="s">
        <v>31</v>
      </c>
      <c r="E374" s="783">
        <f t="shared" si="693"/>
        <v>1149756.0459</v>
      </c>
      <c r="F374" s="783"/>
      <c r="G374" s="783">
        <f t="shared" ref="G374:J374" si="696">G365</f>
        <v>12289.984499999999</v>
      </c>
      <c r="H374" s="783">
        <f t="shared" si="696"/>
        <v>10380.399999999998</v>
      </c>
      <c r="I374" s="783">
        <f t="shared" si="696"/>
        <v>7330.3994678571435</v>
      </c>
      <c r="J374" s="783">
        <f t="shared" si="696"/>
        <v>14838.162066000001</v>
      </c>
      <c r="K374" s="776">
        <f t="shared" si="687"/>
        <v>1194594.9919338571</v>
      </c>
      <c r="L374" s="776">
        <f t="shared" si="688"/>
        <v>179189.24879007856</v>
      </c>
      <c r="M374" s="776">
        <f t="shared" si="689"/>
        <v>1373784.2407239357</v>
      </c>
      <c r="N374" s="776">
        <f t="shared" si="690"/>
        <v>1187264.592466</v>
      </c>
      <c r="O374" s="776">
        <f t="shared" si="691"/>
        <v>178089.68886989998</v>
      </c>
      <c r="P374" s="776">
        <f t="shared" si="692"/>
        <v>1365354.2813359001</v>
      </c>
      <c r="Q374" s="783">
        <f t="shared" si="695"/>
        <v>35573.415307692303</v>
      </c>
    </row>
    <row r="375" spans="1:17" s="769" customFormat="1" ht="14">
      <c r="A375" s="771">
        <v>16</v>
      </c>
      <c r="B375" s="808" t="s">
        <v>263</v>
      </c>
      <c r="C375" s="804" t="s">
        <v>51</v>
      </c>
      <c r="D375" s="801" t="s">
        <v>31</v>
      </c>
      <c r="E375" s="783"/>
      <c r="F375" s="783"/>
      <c r="G375" s="783"/>
      <c r="H375" s="783"/>
      <c r="I375" s="783"/>
      <c r="J375" s="783"/>
      <c r="K375" s="776"/>
      <c r="L375" s="776"/>
      <c r="M375" s="776"/>
      <c r="N375" s="776"/>
      <c r="O375" s="776"/>
      <c r="P375" s="776"/>
      <c r="Q375" s="783"/>
    </row>
    <row r="376" spans="1:17" s="769" customFormat="1">
      <c r="A376" s="771">
        <v>16.100000000000001</v>
      </c>
      <c r="B376" s="808" t="s">
        <v>771</v>
      </c>
      <c r="C376" s="804" t="s">
        <v>51</v>
      </c>
      <c r="D376" s="801" t="s">
        <v>31</v>
      </c>
      <c r="E376" s="783"/>
      <c r="F376" s="783"/>
      <c r="G376" s="783"/>
      <c r="H376" s="783"/>
      <c r="I376" s="783"/>
      <c r="J376" s="783"/>
      <c r="K376" s="776"/>
      <c r="L376" s="776"/>
      <c r="M376" s="776"/>
      <c r="N376" s="776"/>
      <c r="O376" s="776"/>
      <c r="P376" s="776"/>
      <c r="Q376" s="783"/>
    </row>
    <row r="377" spans="1:17" s="769" customFormat="1">
      <c r="A377" s="809" t="s">
        <v>767</v>
      </c>
      <c r="B377" s="810" t="s">
        <v>768</v>
      </c>
      <c r="C377" s="804" t="s">
        <v>51</v>
      </c>
      <c r="D377" s="801" t="s">
        <v>31</v>
      </c>
      <c r="E377" s="783">
        <f>NCong!M526</f>
        <v>743473.21289999981</v>
      </c>
      <c r="F377" s="783"/>
      <c r="G377" s="783">
        <f t="shared" ref="G377:J379" si="697">G232</f>
        <v>15756.390384615384</v>
      </c>
      <c r="H377" s="783">
        <f t="shared" si="697"/>
        <v>31754</v>
      </c>
      <c r="I377" s="783">
        <f t="shared" si="697"/>
        <v>9397.9480357142857</v>
      </c>
      <c r="J377" s="783">
        <f t="shared" si="697"/>
        <v>19023.2847</v>
      </c>
      <c r="K377" s="776">
        <f t="shared" ref="K377:K379" si="698">SUM(E377:J377)</f>
        <v>819404.8360203295</v>
      </c>
      <c r="L377" s="776">
        <f t="shared" ref="L377:L379" si="699">K377*15%</f>
        <v>122910.72540304942</v>
      </c>
      <c r="M377" s="776">
        <f t="shared" ref="M377:M379" si="700">K377+L377</f>
        <v>942315.56142337888</v>
      </c>
      <c r="N377" s="776">
        <f t="shared" ref="N377:N379" si="701">K377-I377</f>
        <v>810006.88798461517</v>
      </c>
      <c r="O377" s="776">
        <f t="shared" ref="O377:O379" si="702">$L$6*N377</f>
        <v>121501.03319769228</v>
      </c>
      <c r="P377" s="776">
        <f t="shared" ref="P377:P379" si="703">N377+O377</f>
        <v>931507.92118230741</v>
      </c>
      <c r="Q377" s="783">
        <f>NCong!P526</f>
        <v>22978.004923076922</v>
      </c>
    </row>
    <row r="378" spans="1:17" s="769" customFormat="1">
      <c r="A378" s="809" t="s">
        <v>767</v>
      </c>
      <c r="B378" s="810" t="s">
        <v>769</v>
      </c>
      <c r="C378" s="804" t="s">
        <v>51</v>
      </c>
      <c r="D378" s="801" t="s">
        <v>31</v>
      </c>
      <c r="E378" s="783">
        <f>NCong!N526</f>
        <v>921097.3909499998</v>
      </c>
      <c r="F378" s="783"/>
      <c r="G378" s="783">
        <f t="shared" si="697"/>
        <v>15756.390384615384</v>
      </c>
      <c r="H378" s="783">
        <f t="shared" si="697"/>
        <v>31754</v>
      </c>
      <c r="I378" s="783">
        <f t="shared" si="697"/>
        <v>9397.9480357142857</v>
      </c>
      <c r="J378" s="783">
        <f t="shared" si="697"/>
        <v>19023.2847</v>
      </c>
      <c r="K378" s="776">
        <f t="shared" si="698"/>
        <v>997029.01407032949</v>
      </c>
      <c r="L378" s="776">
        <f t="shared" si="699"/>
        <v>149554.35211054943</v>
      </c>
      <c r="M378" s="776">
        <f t="shared" si="700"/>
        <v>1146583.3661808788</v>
      </c>
      <c r="N378" s="776">
        <f t="shared" si="701"/>
        <v>987631.06603461516</v>
      </c>
      <c r="O378" s="776">
        <f t="shared" si="702"/>
        <v>148144.65990519227</v>
      </c>
      <c r="P378" s="776">
        <f t="shared" si="703"/>
        <v>1135775.7259398075</v>
      </c>
      <c r="Q378" s="783">
        <f>NCong!Q526</f>
        <v>28571.659769230766</v>
      </c>
    </row>
    <row r="379" spans="1:17" s="769" customFormat="1">
      <c r="A379" s="809" t="s">
        <v>767</v>
      </c>
      <c r="B379" s="810" t="s">
        <v>770</v>
      </c>
      <c r="C379" s="804" t="s">
        <v>51</v>
      </c>
      <c r="D379" s="801" t="s">
        <v>31</v>
      </c>
      <c r="E379" s="783">
        <f>NCong!O526</f>
        <v>1149756.0459</v>
      </c>
      <c r="F379" s="783"/>
      <c r="G379" s="783">
        <f t="shared" si="697"/>
        <v>20483.307499999999</v>
      </c>
      <c r="H379" s="783">
        <f t="shared" si="697"/>
        <v>31754</v>
      </c>
      <c r="I379" s="783">
        <f t="shared" si="697"/>
        <v>12217.332446428572</v>
      </c>
      <c r="J379" s="783">
        <f t="shared" si="697"/>
        <v>24730.270110000001</v>
      </c>
      <c r="K379" s="776">
        <f t="shared" si="698"/>
        <v>1238940.9559564285</v>
      </c>
      <c r="L379" s="776">
        <f t="shared" si="699"/>
        <v>185841.14339346427</v>
      </c>
      <c r="M379" s="776">
        <f t="shared" si="700"/>
        <v>1424782.0993498927</v>
      </c>
      <c r="N379" s="776">
        <f t="shared" si="701"/>
        <v>1226723.6235100001</v>
      </c>
      <c r="O379" s="776">
        <f t="shared" si="702"/>
        <v>184008.5435265</v>
      </c>
      <c r="P379" s="776">
        <f t="shared" si="703"/>
        <v>1410732.1670365001</v>
      </c>
      <c r="Q379" s="783">
        <f>NCong!R526</f>
        <v>35573.415307692303</v>
      </c>
    </row>
    <row r="380" spans="1:17" s="769" customFormat="1">
      <c r="A380" s="771">
        <v>16.2</v>
      </c>
      <c r="B380" s="808" t="s">
        <v>772</v>
      </c>
      <c r="C380" s="804" t="s">
        <v>51</v>
      </c>
      <c r="D380" s="801" t="s">
        <v>31</v>
      </c>
      <c r="E380" s="783"/>
      <c r="F380" s="783"/>
      <c r="G380" s="783"/>
      <c r="H380" s="783"/>
      <c r="I380" s="783"/>
      <c r="J380" s="783"/>
      <c r="K380" s="776"/>
      <c r="L380" s="776"/>
      <c r="M380" s="776"/>
      <c r="N380" s="776"/>
      <c r="O380" s="776"/>
      <c r="P380" s="776"/>
      <c r="Q380" s="783"/>
    </row>
    <row r="381" spans="1:17" s="769" customFormat="1">
      <c r="A381" s="809" t="s">
        <v>767</v>
      </c>
      <c r="B381" s="810" t="s">
        <v>768</v>
      </c>
      <c r="C381" s="804" t="s">
        <v>51</v>
      </c>
      <c r="D381" s="801" t="s">
        <v>31</v>
      </c>
      <c r="E381" s="783">
        <f>E377</f>
        <v>743473.21289999981</v>
      </c>
      <c r="F381" s="783"/>
      <c r="G381" s="783">
        <f>G372</f>
        <v>9453.834230769231</v>
      </c>
      <c r="H381" s="783">
        <f t="shared" ref="H381:J381" si="704">H372</f>
        <v>10380.399999999998</v>
      </c>
      <c r="I381" s="783">
        <f t="shared" si="704"/>
        <v>5638.7688214285708</v>
      </c>
      <c r="J381" s="783">
        <f t="shared" si="704"/>
        <v>11413.97082</v>
      </c>
      <c r="K381" s="776">
        <f t="shared" ref="K381:K383" si="705">SUM(E381:J381)</f>
        <v>780360.1867721976</v>
      </c>
      <c r="L381" s="776">
        <f t="shared" ref="L381:L383" si="706">K381*15%</f>
        <v>117054.02801582964</v>
      </c>
      <c r="M381" s="776">
        <f t="shared" ref="M381:M383" si="707">K381+L381</f>
        <v>897414.21478802722</v>
      </c>
      <c r="N381" s="776">
        <f t="shared" ref="N381:N383" si="708">K381-I381</f>
        <v>774721.41795076907</v>
      </c>
      <c r="O381" s="776">
        <f t="shared" ref="O381:O383" si="709">$L$6*N381</f>
        <v>116208.21269261536</v>
      </c>
      <c r="P381" s="776">
        <f t="shared" ref="P381:P383" si="710">N381+O381</f>
        <v>890929.63064338441</v>
      </c>
      <c r="Q381" s="783">
        <f>Q377</f>
        <v>22978.004923076922</v>
      </c>
    </row>
    <row r="382" spans="1:17" s="769" customFormat="1">
      <c r="A382" s="809" t="s">
        <v>767</v>
      </c>
      <c r="B382" s="810" t="s">
        <v>769</v>
      </c>
      <c r="C382" s="804" t="s">
        <v>51</v>
      </c>
      <c r="D382" s="801" t="s">
        <v>31</v>
      </c>
      <c r="E382" s="783">
        <f t="shared" ref="E382:E383" si="711">E378</f>
        <v>921097.3909499998</v>
      </c>
      <c r="F382" s="783"/>
      <c r="G382" s="783">
        <f t="shared" ref="G382:J382" si="712">G373</f>
        <v>9453.834230769231</v>
      </c>
      <c r="H382" s="783">
        <f t="shared" si="712"/>
        <v>10380.399999999998</v>
      </c>
      <c r="I382" s="783">
        <f t="shared" si="712"/>
        <v>5638.7688214285708</v>
      </c>
      <c r="J382" s="783">
        <f t="shared" si="712"/>
        <v>11413.97082</v>
      </c>
      <c r="K382" s="776">
        <f t="shared" si="705"/>
        <v>957984.36482219759</v>
      </c>
      <c r="L382" s="776">
        <f t="shared" si="706"/>
        <v>143697.65472332964</v>
      </c>
      <c r="M382" s="776">
        <f t="shared" si="707"/>
        <v>1101682.0195455272</v>
      </c>
      <c r="N382" s="776">
        <f t="shared" si="708"/>
        <v>952345.59600076906</v>
      </c>
      <c r="O382" s="776">
        <f t="shared" si="709"/>
        <v>142851.83940011536</v>
      </c>
      <c r="P382" s="776">
        <f t="shared" si="710"/>
        <v>1095197.4354008844</v>
      </c>
      <c r="Q382" s="783">
        <f t="shared" ref="Q382:Q383" si="713">Q378</f>
        <v>28571.659769230766</v>
      </c>
    </row>
    <row r="383" spans="1:17" s="769" customFormat="1">
      <c r="A383" s="809" t="s">
        <v>767</v>
      </c>
      <c r="B383" s="810" t="s">
        <v>770</v>
      </c>
      <c r="C383" s="804" t="s">
        <v>51</v>
      </c>
      <c r="D383" s="801" t="s">
        <v>31</v>
      </c>
      <c r="E383" s="783">
        <f t="shared" si="711"/>
        <v>1149756.0459</v>
      </c>
      <c r="F383" s="783"/>
      <c r="G383" s="783">
        <f t="shared" ref="G383:J383" si="714">G374</f>
        <v>12289.984499999999</v>
      </c>
      <c r="H383" s="783">
        <f t="shared" si="714"/>
        <v>10380.399999999998</v>
      </c>
      <c r="I383" s="783">
        <f t="shared" si="714"/>
        <v>7330.3994678571435</v>
      </c>
      <c r="J383" s="783">
        <f t="shared" si="714"/>
        <v>14838.162066000001</v>
      </c>
      <c r="K383" s="776">
        <f t="shared" si="705"/>
        <v>1194594.9919338571</v>
      </c>
      <c r="L383" s="776">
        <f t="shared" si="706"/>
        <v>179189.24879007856</v>
      </c>
      <c r="M383" s="776">
        <f t="shared" si="707"/>
        <v>1373784.2407239357</v>
      </c>
      <c r="N383" s="776">
        <f t="shared" si="708"/>
        <v>1187264.592466</v>
      </c>
      <c r="O383" s="776">
        <f t="shared" si="709"/>
        <v>178089.68886989998</v>
      </c>
      <c r="P383" s="776">
        <f t="shared" si="710"/>
        <v>1365354.2813359001</v>
      </c>
      <c r="Q383" s="783">
        <f t="shared" si="713"/>
        <v>35573.415307692303</v>
      </c>
    </row>
    <row r="384" spans="1:17" s="769" customFormat="1">
      <c r="A384" s="771">
        <v>17</v>
      </c>
      <c r="B384" s="808" t="s">
        <v>265</v>
      </c>
      <c r="C384" s="804" t="s">
        <v>51</v>
      </c>
      <c r="D384" s="801" t="s">
        <v>31</v>
      </c>
      <c r="E384" s="783"/>
      <c r="F384" s="783"/>
      <c r="G384" s="783"/>
      <c r="H384" s="783"/>
      <c r="I384" s="783"/>
      <c r="J384" s="783"/>
      <c r="K384" s="776"/>
      <c r="L384" s="776"/>
      <c r="M384" s="776"/>
      <c r="N384" s="776"/>
      <c r="O384" s="776"/>
      <c r="P384" s="776"/>
      <c r="Q384" s="783"/>
    </row>
    <row r="385" spans="1:17" s="769" customFormat="1">
      <c r="A385" s="771">
        <v>17.100000000000001</v>
      </c>
      <c r="B385" s="808" t="s">
        <v>771</v>
      </c>
      <c r="C385" s="804" t="s">
        <v>51</v>
      </c>
      <c r="D385" s="801" t="s">
        <v>31</v>
      </c>
      <c r="E385" s="783"/>
      <c r="F385" s="783"/>
      <c r="G385" s="783"/>
      <c r="H385" s="783"/>
      <c r="I385" s="783"/>
      <c r="J385" s="783"/>
      <c r="K385" s="776"/>
      <c r="L385" s="776"/>
      <c r="M385" s="776"/>
      <c r="N385" s="776"/>
      <c r="O385" s="776"/>
      <c r="P385" s="776"/>
      <c r="Q385" s="783"/>
    </row>
    <row r="386" spans="1:17" s="769" customFormat="1">
      <c r="A386" s="809" t="s">
        <v>767</v>
      </c>
      <c r="B386" s="810" t="s">
        <v>768</v>
      </c>
      <c r="C386" s="804" t="s">
        <v>51</v>
      </c>
      <c r="D386" s="801" t="s">
        <v>31</v>
      </c>
      <c r="E386" s="783">
        <f>NCong!M527</f>
        <v>743473.21289999981</v>
      </c>
      <c r="F386" s="783"/>
      <c r="G386" s="783">
        <f>G377</f>
        <v>15756.390384615384</v>
      </c>
      <c r="H386" s="783">
        <f t="shared" ref="H386:J386" si="715">H377</f>
        <v>31754</v>
      </c>
      <c r="I386" s="783">
        <f t="shared" si="715"/>
        <v>9397.9480357142857</v>
      </c>
      <c r="J386" s="783">
        <f t="shared" si="715"/>
        <v>19023.2847</v>
      </c>
      <c r="K386" s="776">
        <f t="shared" ref="K386:K388" si="716">SUM(E386:J386)</f>
        <v>819404.8360203295</v>
      </c>
      <c r="L386" s="776">
        <f t="shared" ref="L386:L388" si="717">K386*15%</f>
        <v>122910.72540304942</v>
      </c>
      <c r="M386" s="776">
        <f t="shared" ref="M386:M388" si="718">K386+L386</f>
        <v>942315.56142337888</v>
      </c>
      <c r="N386" s="776">
        <f t="shared" ref="N386:N388" si="719">K386-I386</f>
        <v>810006.88798461517</v>
      </c>
      <c r="O386" s="776">
        <f t="shared" ref="O386:O388" si="720">$L$6*N386</f>
        <v>121501.03319769228</v>
      </c>
      <c r="P386" s="776">
        <f t="shared" ref="P386:P388" si="721">N386+O386</f>
        <v>931507.92118230741</v>
      </c>
      <c r="Q386" s="783">
        <f>NCong!P527</f>
        <v>22978.004923076922</v>
      </c>
    </row>
    <row r="387" spans="1:17" s="769" customFormat="1">
      <c r="A387" s="809" t="s">
        <v>767</v>
      </c>
      <c r="B387" s="810" t="s">
        <v>769</v>
      </c>
      <c r="C387" s="804" t="s">
        <v>51</v>
      </c>
      <c r="D387" s="801" t="s">
        <v>31</v>
      </c>
      <c r="E387" s="783">
        <f>NCong!N527</f>
        <v>921097.3909499998</v>
      </c>
      <c r="F387" s="783"/>
      <c r="G387" s="783">
        <f t="shared" ref="G387:J388" si="722">G378</f>
        <v>15756.390384615384</v>
      </c>
      <c r="H387" s="783">
        <f t="shared" si="722"/>
        <v>31754</v>
      </c>
      <c r="I387" s="783">
        <f t="shared" si="722"/>
        <v>9397.9480357142857</v>
      </c>
      <c r="J387" s="783">
        <f t="shared" si="722"/>
        <v>19023.2847</v>
      </c>
      <c r="K387" s="776">
        <f t="shared" si="716"/>
        <v>997029.01407032949</v>
      </c>
      <c r="L387" s="776">
        <f t="shared" si="717"/>
        <v>149554.35211054943</v>
      </c>
      <c r="M387" s="776">
        <f t="shared" si="718"/>
        <v>1146583.3661808788</v>
      </c>
      <c r="N387" s="776">
        <f t="shared" si="719"/>
        <v>987631.06603461516</v>
      </c>
      <c r="O387" s="776">
        <f t="shared" si="720"/>
        <v>148144.65990519227</v>
      </c>
      <c r="P387" s="776">
        <f t="shared" si="721"/>
        <v>1135775.7259398075</v>
      </c>
      <c r="Q387" s="783">
        <f>NCong!Q527</f>
        <v>28571.659769230766</v>
      </c>
    </row>
    <row r="388" spans="1:17" s="769" customFormat="1">
      <c r="A388" s="809" t="s">
        <v>767</v>
      </c>
      <c r="B388" s="810" t="s">
        <v>770</v>
      </c>
      <c r="C388" s="804" t="s">
        <v>51</v>
      </c>
      <c r="D388" s="801" t="s">
        <v>31</v>
      </c>
      <c r="E388" s="783">
        <f>NCong!O527</f>
        <v>1149756.0459</v>
      </c>
      <c r="F388" s="783"/>
      <c r="G388" s="783">
        <f t="shared" si="722"/>
        <v>20483.307499999999</v>
      </c>
      <c r="H388" s="783">
        <f t="shared" si="722"/>
        <v>31754</v>
      </c>
      <c r="I388" s="783">
        <f t="shared" si="722"/>
        <v>12217.332446428572</v>
      </c>
      <c r="J388" s="783">
        <f t="shared" si="722"/>
        <v>24730.270110000001</v>
      </c>
      <c r="K388" s="776">
        <f t="shared" si="716"/>
        <v>1238940.9559564285</v>
      </c>
      <c r="L388" s="776">
        <f t="shared" si="717"/>
        <v>185841.14339346427</v>
      </c>
      <c r="M388" s="776">
        <f t="shared" si="718"/>
        <v>1424782.0993498927</v>
      </c>
      <c r="N388" s="776">
        <f t="shared" si="719"/>
        <v>1226723.6235100001</v>
      </c>
      <c r="O388" s="776">
        <f t="shared" si="720"/>
        <v>184008.5435265</v>
      </c>
      <c r="P388" s="776">
        <f t="shared" si="721"/>
        <v>1410732.1670365001</v>
      </c>
      <c r="Q388" s="783">
        <f>NCong!R527</f>
        <v>35573.415307692303</v>
      </c>
    </row>
    <row r="389" spans="1:17" s="769" customFormat="1">
      <c r="A389" s="771">
        <v>17.2</v>
      </c>
      <c r="B389" s="808" t="s">
        <v>772</v>
      </c>
      <c r="C389" s="804" t="s">
        <v>51</v>
      </c>
      <c r="D389" s="801" t="s">
        <v>31</v>
      </c>
      <c r="E389" s="783"/>
      <c r="F389" s="783"/>
      <c r="G389" s="783"/>
      <c r="H389" s="783"/>
      <c r="I389" s="783"/>
      <c r="J389" s="783"/>
      <c r="K389" s="776"/>
      <c r="L389" s="776"/>
      <c r="M389" s="776"/>
      <c r="N389" s="776"/>
      <c r="O389" s="776"/>
      <c r="P389" s="776"/>
      <c r="Q389" s="783"/>
    </row>
    <row r="390" spans="1:17" s="769" customFormat="1">
      <c r="A390" s="809" t="s">
        <v>767</v>
      </c>
      <c r="B390" s="810" t="s">
        <v>768</v>
      </c>
      <c r="C390" s="804" t="s">
        <v>51</v>
      </c>
      <c r="D390" s="801" t="s">
        <v>31</v>
      </c>
      <c r="E390" s="783">
        <f>E386</f>
        <v>743473.21289999981</v>
      </c>
      <c r="F390" s="783"/>
      <c r="G390" s="783">
        <f>G381</f>
        <v>9453.834230769231</v>
      </c>
      <c r="H390" s="783">
        <f t="shared" ref="H390:J390" si="723">H381</f>
        <v>10380.399999999998</v>
      </c>
      <c r="I390" s="783">
        <f t="shared" si="723"/>
        <v>5638.7688214285708</v>
      </c>
      <c r="J390" s="783">
        <f t="shared" si="723"/>
        <v>11413.97082</v>
      </c>
      <c r="K390" s="776">
        <f t="shared" ref="K390:K392" si="724">SUM(E390:J390)</f>
        <v>780360.1867721976</v>
      </c>
      <c r="L390" s="776">
        <f t="shared" ref="L390:L392" si="725">K390*15%</f>
        <v>117054.02801582964</v>
      </c>
      <c r="M390" s="776">
        <f t="shared" ref="M390:M392" si="726">K390+L390</f>
        <v>897414.21478802722</v>
      </c>
      <c r="N390" s="776">
        <f t="shared" ref="N390:N392" si="727">K390-I390</f>
        <v>774721.41795076907</v>
      </c>
      <c r="O390" s="776">
        <f t="shared" ref="O390:O392" si="728">$L$6*N390</f>
        <v>116208.21269261536</v>
      </c>
      <c r="P390" s="776">
        <f t="shared" ref="P390:P392" si="729">N390+O390</f>
        <v>890929.63064338441</v>
      </c>
      <c r="Q390" s="783">
        <f>Q386</f>
        <v>22978.004923076922</v>
      </c>
    </row>
    <row r="391" spans="1:17" s="769" customFormat="1">
      <c r="A391" s="809" t="s">
        <v>767</v>
      </c>
      <c r="B391" s="810" t="s">
        <v>769</v>
      </c>
      <c r="C391" s="804" t="s">
        <v>51</v>
      </c>
      <c r="D391" s="801" t="s">
        <v>31</v>
      </c>
      <c r="E391" s="783">
        <f t="shared" ref="E391:E392" si="730">E387</f>
        <v>921097.3909499998</v>
      </c>
      <c r="F391" s="783"/>
      <c r="G391" s="783">
        <f t="shared" ref="G391:J391" si="731">G382</f>
        <v>9453.834230769231</v>
      </c>
      <c r="H391" s="783">
        <f t="shared" si="731"/>
        <v>10380.399999999998</v>
      </c>
      <c r="I391" s="783">
        <f t="shared" si="731"/>
        <v>5638.7688214285708</v>
      </c>
      <c r="J391" s="783">
        <f t="shared" si="731"/>
        <v>11413.97082</v>
      </c>
      <c r="K391" s="776">
        <f t="shared" si="724"/>
        <v>957984.36482219759</v>
      </c>
      <c r="L391" s="776">
        <f t="shared" si="725"/>
        <v>143697.65472332964</v>
      </c>
      <c r="M391" s="776">
        <f t="shared" si="726"/>
        <v>1101682.0195455272</v>
      </c>
      <c r="N391" s="776">
        <f t="shared" si="727"/>
        <v>952345.59600076906</v>
      </c>
      <c r="O391" s="776">
        <f t="shared" si="728"/>
        <v>142851.83940011536</v>
      </c>
      <c r="P391" s="776">
        <f t="shared" si="729"/>
        <v>1095197.4354008844</v>
      </c>
      <c r="Q391" s="783">
        <f t="shared" ref="Q391:Q392" si="732">Q387</f>
        <v>28571.659769230766</v>
      </c>
    </row>
    <row r="392" spans="1:17" s="769" customFormat="1">
      <c r="A392" s="809" t="s">
        <v>767</v>
      </c>
      <c r="B392" s="810" t="s">
        <v>770</v>
      </c>
      <c r="C392" s="804" t="s">
        <v>51</v>
      </c>
      <c r="D392" s="801" t="s">
        <v>31</v>
      </c>
      <c r="E392" s="783">
        <f t="shared" si="730"/>
        <v>1149756.0459</v>
      </c>
      <c r="F392" s="783"/>
      <c r="G392" s="783">
        <f t="shared" ref="G392:J392" si="733">G383</f>
        <v>12289.984499999999</v>
      </c>
      <c r="H392" s="783">
        <f t="shared" si="733"/>
        <v>10380.399999999998</v>
      </c>
      <c r="I392" s="783">
        <f t="shared" si="733"/>
        <v>7330.3994678571435</v>
      </c>
      <c r="J392" s="783">
        <f t="shared" si="733"/>
        <v>14838.162066000001</v>
      </c>
      <c r="K392" s="776">
        <f t="shared" si="724"/>
        <v>1194594.9919338571</v>
      </c>
      <c r="L392" s="776">
        <f t="shared" si="725"/>
        <v>179189.24879007856</v>
      </c>
      <c r="M392" s="776">
        <f t="shared" si="726"/>
        <v>1373784.2407239357</v>
      </c>
      <c r="N392" s="776">
        <f t="shared" si="727"/>
        <v>1187264.592466</v>
      </c>
      <c r="O392" s="776">
        <f t="shared" si="728"/>
        <v>178089.68886989998</v>
      </c>
      <c r="P392" s="776">
        <f t="shared" si="729"/>
        <v>1365354.2813359001</v>
      </c>
      <c r="Q392" s="783">
        <f t="shared" si="732"/>
        <v>35573.415307692303</v>
      </c>
    </row>
    <row r="393" spans="1:17" s="769" customFormat="1" ht="14">
      <c r="A393" s="771">
        <v>18</v>
      </c>
      <c r="B393" s="808" t="s">
        <v>267</v>
      </c>
      <c r="C393" s="804" t="s">
        <v>51</v>
      </c>
      <c r="D393" s="801" t="s">
        <v>31</v>
      </c>
      <c r="E393" s="783"/>
      <c r="F393" s="783"/>
      <c r="G393" s="783"/>
      <c r="H393" s="783"/>
      <c r="I393" s="783"/>
      <c r="J393" s="783"/>
      <c r="K393" s="776"/>
      <c r="L393" s="776"/>
      <c r="M393" s="776"/>
      <c r="N393" s="776"/>
      <c r="O393" s="776"/>
      <c r="P393" s="776"/>
      <c r="Q393" s="783"/>
    </row>
    <row r="394" spans="1:17" s="769" customFormat="1">
      <c r="A394" s="771">
        <v>18.100000000000001</v>
      </c>
      <c r="B394" s="808" t="s">
        <v>771</v>
      </c>
      <c r="C394" s="804" t="s">
        <v>51</v>
      </c>
      <c r="D394" s="801" t="s">
        <v>31</v>
      </c>
      <c r="E394" s="783"/>
      <c r="F394" s="783"/>
      <c r="G394" s="783"/>
      <c r="H394" s="783"/>
      <c r="I394" s="783"/>
      <c r="J394" s="783"/>
      <c r="K394" s="776"/>
      <c r="L394" s="776"/>
      <c r="M394" s="776"/>
      <c r="N394" s="776"/>
      <c r="O394" s="776"/>
      <c r="P394" s="776"/>
      <c r="Q394" s="783"/>
    </row>
    <row r="395" spans="1:17" s="769" customFormat="1">
      <c r="A395" s="809" t="s">
        <v>767</v>
      </c>
      <c r="B395" s="810" t="s">
        <v>768</v>
      </c>
      <c r="C395" s="804" t="s">
        <v>51</v>
      </c>
      <c r="D395" s="801" t="s">
        <v>31</v>
      </c>
      <c r="E395" s="783">
        <f>NCong!M528</f>
        <v>733828.4480999998</v>
      </c>
      <c r="F395" s="783"/>
      <c r="G395" s="783">
        <f>G386</f>
        <v>15756.390384615384</v>
      </c>
      <c r="H395" s="783">
        <f t="shared" ref="H395:J395" si="734">H386</f>
        <v>31754</v>
      </c>
      <c r="I395" s="783">
        <f t="shared" si="734"/>
        <v>9397.9480357142857</v>
      </c>
      <c r="J395" s="783">
        <f t="shared" si="734"/>
        <v>19023.2847</v>
      </c>
      <c r="K395" s="776">
        <f t="shared" ref="K395:K401" si="735">SUM(E395:J395)</f>
        <v>809760.0712203295</v>
      </c>
      <c r="L395" s="776">
        <f t="shared" ref="L395:L401" si="736">K395*15%</f>
        <v>121464.01068304942</v>
      </c>
      <c r="M395" s="776">
        <f t="shared" ref="M395:M401" si="737">K395+L395</f>
        <v>931224.08190337894</v>
      </c>
      <c r="N395" s="776">
        <f t="shared" ref="N395:N401" si="738">K395-I395</f>
        <v>800362.12318461516</v>
      </c>
      <c r="O395" s="776">
        <f t="shared" ref="O395:O401" si="739">$L$6*N395</f>
        <v>120054.31847769227</v>
      </c>
      <c r="P395" s="776">
        <f t="shared" ref="P395:P401" si="740">N395+O395</f>
        <v>920416.44166230748</v>
      </c>
      <c r="Q395" s="783">
        <f>NCong!P528</f>
        <v>22717.687384615383</v>
      </c>
    </row>
    <row r="396" spans="1:17" s="769" customFormat="1">
      <c r="A396" s="809" t="s">
        <v>767</v>
      </c>
      <c r="B396" s="810" t="s">
        <v>769</v>
      </c>
      <c r="C396" s="804" t="s">
        <v>51</v>
      </c>
      <c r="D396" s="801" t="s">
        <v>31</v>
      </c>
      <c r="E396" s="783">
        <f>NCong!N528</f>
        <v>907781.03954999987</v>
      </c>
      <c r="F396" s="783"/>
      <c r="G396" s="783">
        <f t="shared" ref="G396:J401" si="741">G387</f>
        <v>15756.390384615384</v>
      </c>
      <c r="H396" s="783">
        <f t="shared" si="741"/>
        <v>31754</v>
      </c>
      <c r="I396" s="783">
        <f t="shared" si="741"/>
        <v>9397.9480357142857</v>
      </c>
      <c r="J396" s="783">
        <f t="shared" si="741"/>
        <v>19023.2847</v>
      </c>
      <c r="K396" s="776">
        <f t="shared" si="735"/>
        <v>983712.66267032956</v>
      </c>
      <c r="L396" s="776">
        <f t="shared" si="736"/>
        <v>147556.89940054942</v>
      </c>
      <c r="M396" s="776">
        <f t="shared" si="737"/>
        <v>1131269.5620708789</v>
      </c>
      <c r="N396" s="776">
        <f t="shared" si="738"/>
        <v>974314.71463461523</v>
      </c>
      <c r="O396" s="776">
        <f t="shared" si="739"/>
        <v>146147.20719519228</v>
      </c>
      <c r="P396" s="776">
        <f t="shared" si="740"/>
        <v>1120461.9218298076</v>
      </c>
      <c r="Q396" s="783">
        <f>NCong!Q528</f>
        <v>28212.244076923071</v>
      </c>
    </row>
    <row r="397" spans="1:17" s="769" customFormat="1">
      <c r="A397" s="809" t="s">
        <v>767</v>
      </c>
      <c r="B397" s="810" t="s">
        <v>770</v>
      </c>
      <c r="C397" s="804" t="s">
        <v>51</v>
      </c>
      <c r="D397" s="801" t="s">
        <v>31</v>
      </c>
      <c r="E397" s="783">
        <f>NCong!O527</f>
        <v>1149756.0459</v>
      </c>
      <c r="F397" s="783"/>
      <c r="G397" s="783">
        <f t="shared" si="741"/>
        <v>20483.307499999999</v>
      </c>
      <c r="H397" s="783">
        <f t="shared" si="741"/>
        <v>31754</v>
      </c>
      <c r="I397" s="783">
        <f t="shared" si="741"/>
        <v>12217.332446428572</v>
      </c>
      <c r="J397" s="783">
        <f t="shared" si="741"/>
        <v>24730.270110000001</v>
      </c>
      <c r="K397" s="776">
        <f t="shared" si="735"/>
        <v>1238940.9559564285</v>
      </c>
      <c r="L397" s="776">
        <f t="shared" si="736"/>
        <v>185841.14339346427</v>
      </c>
      <c r="M397" s="776">
        <f t="shared" si="737"/>
        <v>1424782.0993498927</v>
      </c>
      <c r="N397" s="776">
        <f t="shared" si="738"/>
        <v>1226723.6235100001</v>
      </c>
      <c r="O397" s="776">
        <f t="shared" si="739"/>
        <v>184008.5435265</v>
      </c>
      <c r="P397" s="776">
        <f t="shared" si="740"/>
        <v>1410732.1670365001</v>
      </c>
      <c r="Q397" s="783">
        <f>NCong!R528</f>
        <v>34921.142384615378</v>
      </c>
    </row>
    <row r="398" spans="1:17" s="769" customFormat="1">
      <c r="A398" s="771">
        <v>18.2</v>
      </c>
      <c r="B398" s="808" t="s">
        <v>772</v>
      </c>
      <c r="C398" s="804" t="s">
        <v>51</v>
      </c>
      <c r="D398" s="801" t="s">
        <v>31</v>
      </c>
      <c r="E398" s="783"/>
      <c r="F398" s="783"/>
      <c r="G398" s="783"/>
      <c r="H398" s="783"/>
      <c r="I398" s="783"/>
      <c r="J398" s="783"/>
      <c r="K398" s="776"/>
      <c r="L398" s="776"/>
      <c r="M398" s="776"/>
      <c r="N398" s="776"/>
      <c r="O398" s="776"/>
      <c r="P398" s="776"/>
      <c r="Q398" s="783"/>
    </row>
    <row r="399" spans="1:17" s="769" customFormat="1">
      <c r="A399" s="809" t="s">
        <v>767</v>
      </c>
      <c r="B399" s="810" t="s">
        <v>768</v>
      </c>
      <c r="C399" s="804" t="s">
        <v>51</v>
      </c>
      <c r="D399" s="801" t="s">
        <v>31</v>
      </c>
      <c r="E399" s="783">
        <f>E395</f>
        <v>733828.4480999998</v>
      </c>
      <c r="F399" s="783"/>
      <c r="G399" s="783">
        <f t="shared" si="741"/>
        <v>9453.834230769231</v>
      </c>
      <c r="H399" s="783">
        <f t="shared" si="741"/>
        <v>10380.399999999998</v>
      </c>
      <c r="I399" s="783">
        <f t="shared" si="741"/>
        <v>5638.7688214285708</v>
      </c>
      <c r="J399" s="783">
        <f t="shared" si="741"/>
        <v>11413.97082</v>
      </c>
      <c r="K399" s="776">
        <f t="shared" si="735"/>
        <v>770715.4219721976</v>
      </c>
      <c r="L399" s="776">
        <f t="shared" si="736"/>
        <v>115607.31329582963</v>
      </c>
      <c r="M399" s="776">
        <f t="shared" si="737"/>
        <v>886322.73526802729</v>
      </c>
      <c r="N399" s="776">
        <f t="shared" si="738"/>
        <v>765076.65315076907</v>
      </c>
      <c r="O399" s="776">
        <f t="shared" si="739"/>
        <v>114761.49797261535</v>
      </c>
      <c r="P399" s="776">
        <f t="shared" si="740"/>
        <v>879838.15112338448</v>
      </c>
      <c r="Q399" s="783">
        <f>Q395</f>
        <v>22717.687384615383</v>
      </c>
    </row>
    <row r="400" spans="1:17" s="769" customFormat="1">
      <c r="A400" s="809" t="s">
        <v>767</v>
      </c>
      <c r="B400" s="810" t="s">
        <v>769</v>
      </c>
      <c r="C400" s="804" t="s">
        <v>51</v>
      </c>
      <c r="D400" s="801" t="s">
        <v>31</v>
      </c>
      <c r="E400" s="783">
        <f t="shared" ref="E400:E401" si="742">E396</f>
        <v>907781.03954999987</v>
      </c>
      <c r="F400" s="783"/>
      <c r="G400" s="783">
        <f t="shared" si="741"/>
        <v>9453.834230769231</v>
      </c>
      <c r="H400" s="783">
        <f t="shared" si="741"/>
        <v>10380.399999999998</v>
      </c>
      <c r="I400" s="783">
        <f t="shared" si="741"/>
        <v>5638.7688214285708</v>
      </c>
      <c r="J400" s="783">
        <f t="shared" si="741"/>
        <v>11413.97082</v>
      </c>
      <c r="K400" s="776">
        <f t="shared" si="735"/>
        <v>944668.01342219766</v>
      </c>
      <c r="L400" s="776">
        <f t="shared" si="736"/>
        <v>141700.20201332963</v>
      </c>
      <c r="M400" s="776">
        <f t="shared" si="737"/>
        <v>1086368.2154355273</v>
      </c>
      <c r="N400" s="776">
        <f t="shared" si="738"/>
        <v>939029.24460076913</v>
      </c>
      <c r="O400" s="776">
        <f t="shared" si="739"/>
        <v>140854.38669011535</v>
      </c>
      <c r="P400" s="776">
        <f t="shared" si="740"/>
        <v>1079883.6312908845</v>
      </c>
      <c r="Q400" s="783">
        <f t="shared" ref="Q400:Q401" si="743">Q396</f>
        <v>28212.244076923071</v>
      </c>
    </row>
    <row r="401" spans="1:17" s="769" customFormat="1">
      <c r="A401" s="809" t="s">
        <v>767</v>
      </c>
      <c r="B401" s="810" t="s">
        <v>770</v>
      </c>
      <c r="C401" s="804" t="s">
        <v>51</v>
      </c>
      <c r="D401" s="801" t="s">
        <v>31</v>
      </c>
      <c r="E401" s="783">
        <f t="shared" si="742"/>
        <v>1149756.0459</v>
      </c>
      <c r="F401" s="783"/>
      <c r="G401" s="783">
        <f t="shared" si="741"/>
        <v>12289.984499999999</v>
      </c>
      <c r="H401" s="783">
        <f t="shared" si="741"/>
        <v>10380.399999999998</v>
      </c>
      <c r="I401" s="783">
        <f t="shared" si="741"/>
        <v>7330.3994678571435</v>
      </c>
      <c r="J401" s="783">
        <f t="shared" si="741"/>
        <v>14838.162066000001</v>
      </c>
      <c r="K401" s="776">
        <f t="shared" si="735"/>
        <v>1194594.9919338571</v>
      </c>
      <c r="L401" s="776">
        <f t="shared" si="736"/>
        <v>179189.24879007856</v>
      </c>
      <c r="M401" s="776">
        <f t="shared" si="737"/>
        <v>1373784.2407239357</v>
      </c>
      <c r="N401" s="776">
        <f t="shared" si="738"/>
        <v>1187264.592466</v>
      </c>
      <c r="O401" s="776">
        <f t="shared" si="739"/>
        <v>178089.68886989998</v>
      </c>
      <c r="P401" s="776">
        <f t="shared" si="740"/>
        <v>1365354.2813359001</v>
      </c>
      <c r="Q401" s="783">
        <f t="shared" si="743"/>
        <v>34921.142384615378</v>
      </c>
    </row>
    <row r="402" spans="1:17" s="769" customFormat="1" ht="21">
      <c r="A402" s="771">
        <v>19</v>
      </c>
      <c r="B402" s="808" t="s">
        <v>763</v>
      </c>
      <c r="C402" s="804" t="s">
        <v>51</v>
      </c>
      <c r="D402" s="801" t="s">
        <v>31</v>
      </c>
      <c r="E402" s="783"/>
      <c r="F402" s="783"/>
      <c r="G402" s="783"/>
      <c r="H402" s="783"/>
      <c r="I402" s="783"/>
      <c r="J402" s="783"/>
      <c r="K402" s="776"/>
      <c r="L402" s="776"/>
      <c r="M402" s="776"/>
      <c r="N402" s="776"/>
      <c r="O402" s="776"/>
      <c r="P402" s="776"/>
      <c r="Q402" s="783"/>
    </row>
    <row r="403" spans="1:17" s="769" customFormat="1">
      <c r="A403" s="771">
        <v>19.100000000000001</v>
      </c>
      <c r="B403" s="808" t="s">
        <v>771</v>
      </c>
      <c r="C403" s="804" t="s">
        <v>51</v>
      </c>
      <c r="D403" s="801" t="s">
        <v>31</v>
      </c>
      <c r="E403" s="783"/>
      <c r="F403" s="783"/>
      <c r="G403" s="783"/>
      <c r="H403" s="783"/>
      <c r="I403" s="783"/>
      <c r="J403" s="783"/>
      <c r="K403" s="776"/>
      <c r="L403" s="776"/>
      <c r="M403" s="776"/>
      <c r="N403" s="776"/>
      <c r="O403" s="776"/>
      <c r="P403" s="776"/>
      <c r="Q403" s="783"/>
    </row>
    <row r="404" spans="1:17" s="769" customFormat="1">
      <c r="A404" s="809" t="s">
        <v>767</v>
      </c>
      <c r="B404" s="810" t="s">
        <v>768</v>
      </c>
      <c r="C404" s="804" t="s">
        <v>51</v>
      </c>
      <c r="D404" s="801" t="s">
        <v>31</v>
      </c>
      <c r="E404" s="783">
        <f>NCong!M529</f>
        <v>743473.21289999981</v>
      </c>
      <c r="F404" s="783"/>
      <c r="G404" s="783">
        <f>G395</f>
        <v>15756.390384615384</v>
      </c>
      <c r="H404" s="783">
        <f t="shared" ref="H404:J404" si="744">H395</f>
        <v>31754</v>
      </c>
      <c r="I404" s="783">
        <f t="shared" si="744"/>
        <v>9397.9480357142857</v>
      </c>
      <c r="J404" s="783">
        <f t="shared" si="744"/>
        <v>19023.2847</v>
      </c>
      <c r="K404" s="776">
        <f t="shared" ref="K404:K406" si="745">SUM(E404:J404)</f>
        <v>819404.8360203295</v>
      </c>
      <c r="L404" s="776">
        <f t="shared" ref="L404:L406" si="746">K404*15%</f>
        <v>122910.72540304942</v>
      </c>
      <c r="M404" s="776">
        <f t="shared" ref="M404:M406" si="747">K404+L404</f>
        <v>942315.56142337888</v>
      </c>
      <c r="N404" s="776">
        <f t="shared" ref="N404:N406" si="748">K404-I404</f>
        <v>810006.88798461517</v>
      </c>
      <c r="O404" s="776">
        <f t="shared" ref="O404:O406" si="749">$L$6*N404</f>
        <v>121501.03319769228</v>
      </c>
      <c r="P404" s="776">
        <f t="shared" ref="P404:P406" si="750">N404+O404</f>
        <v>931507.92118230741</v>
      </c>
      <c r="Q404" s="783">
        <f>NCong!P529</f>
        <v>22978.004923076922</v>
      </c>
    </row>
    <row r="405" spans="1:17" s="769" customFormat="1">
      <c r="A405" s="809" t="s">
        <v>767</v>
      </c>
      <c r="B405" s="810" t="s">
        <v>769</v>
      </c>
      <c r="C405" s="804" t="s">
        <v>51</v>
      </c>
      <c r="D405" s="801" t="s">
        <v>31</v>
      </c>
      <c r="E405" s="783">
        <f>NCong!N529</f>
        <v>921097.3909499998</v>
      </c>
      <c r="F405" s="783"/>
      <c r="G405" s="783">
        <f t="shared" ref="G405:J410" si="751">G396</f>
        <v>15756.390384615384</v>
      </c>
      <c r="H405" s="783">
        <f t="shared" si="751"/>
        <v>31754</v>
      </c>
      <c r="I405" s="783">
        <f t="shared" si="751"/>
        <v>9397.9480357142857</v>
      </c>
      <c r="J405" s="783">
        <f t="shared" si="751"/>
        <v>19023.2847</v>
      </c>
      <c r="K405" s="776">
        <f t="shared" si="745"/>
        <v>997029.01407032949</v>
      </c>
      <c r="L405" s="776">
        <f t="shared" si="746"/>
        <v>149554.35211054943</v>
      </c>
      <c r="M405" s="776">
        <f t="shared" si="747"/>
        <v>1146583.3661808788</v>
      </c>
      <c r="N405" s="776">
        <f t="shared" si="748"/>
        <v>987631.06603461516</v>
      </c>
      <c r="O405" s="776">
        <f t="shared" si="749"/>
        <v>148144.65990519227</v>
      </c>
      <c r="P405" s="776">
        <f t="shared" si="750"/>
        <v>1135775.7259398075</v>
      </c>
      <c r="Q405" s="783">
        <f>NCong!Q529</f>
        <v>28571.659769230766</v>
      </c>
    </row>
    <row r="406" spans="1:17" s="769" customFormat="1">
      <c r="A406" s="809" t="s">
        <v>767</v>
      </c>
      <c r="B406" s="810" t="s">
        <v>770</v>
      </c>
      <c r="C406" s="804" t="s">
        <v>51</v>
      </c>
      <c r="D406" s="801" t="s">
        <v>31</v>
      </c>
      <c r="E406" s="783">
        <f>NCong!O529</f>
        <v>1149756.0459</v>
      </c>
      <c r="F406" s="783"/>
      <c r="G406" s="783">
        <f t="shared" si="751"/>
        <v>20483.307499999999</v>
      </c>
      <c r="H406" s="783">
        <f t="shared" si="751"/>
        <v>31754</v>
      </c>
      <c r="I406" s="783">
        <f t="shared" si="751"/>
        <v>12217.332446428572</v>
      </c>
      <c r="J406" s="783">
        <f t="shared" si="751"/>
        <v>24730.270110000001</v>
      </c>
      <c r="K406" s="776">
        <f t="shared" si="745"/>
        <v>1238940.9559564285</v>
      </c>
      <c r="L406" s="776">
        <f t="shared" si="746"/>
        <v>185841.14339346427</v>
      </c>
      <c r="M406" s="776">
        <f t="shared" si="747"/>
        <v>1424782.0993498927</v>
      </c>
      <c r="N406" s="776">
        <f t="shared" si="748"/>
        <v>1226723.6235100001</v>
      </c>
      <c r="O406" s="776">
        <f t="shared" si="749"/>
        <v>184008.5435265</v>
      </c>
      <c r="P406" s="776">
        <f t="shared" si="750"/>
        <v>1410732.1670365001</v>
      </c>
      <c r="Q406" s="783">
        <f>NCong!R529</f>
        <v>35573.415307692303</v>
      </c>
    </row>
    <row r="407" spans="1:17" s="769" customFormat="1">
      <c r="A407" s="771">
        <v>19.2</v>
      </c>
      <c r="B407" s="808" t="s">
        <v>772</v>
      </c>
      <c r="C407" s="804" t="s">
        <v>51</v>
      </c>
      <c r="D407" s="801" t="s">
        <v>31</v>
      </c>
      <c r="E407" s="783"/>
      <c r="F407" s="783"/>
      <c r="G407" s="783"/>
      <c r="H407" s="783"/>
      <c r="I407" s="783"/>
      <c r="J407" s="783"/>
      <c r="K407" s="776"/>
      <c r="L407" s="776"/>
      <c r="M407" s="776"/>
      <c r="N407" s="776"/>
      <c r="O407" s="776"/>
      <c r="P407" s="776"/>
      <c r="Q407" s="783"/>
    </row>
    <row r="408" spans="1:17" s="769" customFormat="1">
      <c r="A408" s="809" t="s">
        <v>767</v>
      </c>
      <c r="B408" s="810" t="s">
        <v>768</v>
      </c>
      <c r="C408" s="804" t="s">
        <v>51</v>
      </c>
      <c r="D408" s="801" t="s">
        <v>31</v>
      </c>
      <c r="E408" s="783">
        <f>E404</f>
        <v>743473.21289999981</v>
      </c>
      <c r="F408" s="783"/>
      <c r="G408" s="783">
        <f t="shared" si="751"/>
        <v>9453.834230769231</v>
      </c>
      <c r="H408" s="783">
        <f t="shared" ref="H408:J408" si="752">H399</f>
        <v>10380.399999999998</v>
      </c>
      <c r="I408" s="783">
        <f t="shared" si="752"/>
        <v>5638.7688214285708</v>
      </c>
      <c r="J408" s="783">
        <f t="shared" si="752"/>
        <v>11413.97082</v>
      </c>
      <c r="K408" s="776">
        <f t="shared" ref="K408:K410" si="753">SUM(E408:J408)</f>
        <v>780360.1867721976</v>
      </c>
      <c r="L408" s="776">
        <f t="shared" ref="L408:L410" si="754">K408*15%</f>
        <v>117054.02801582964</v>
      </c>
      <c r="M408" s="776">
        <f t="shared" ref="M408:M410" si="755">K408+L408</f>
        <v>897414.21478802722</v>
      </c>
      <c r="N408" s="776">
        <f t="shared" ref="N408:N410" si="756">K408-I408</f>
        <v>774721.41795076907</v>
      </c>
      <c r="O408" s="776">
        <f t="shared" ref="O408:O410" si="757">$L$6*N408</f>
        <v>116208.21269261536</v>
      </c>
      <c r="P408" s="776">
        <f t="shared" ref="P408:P410" si="758">N408+O408</f>
        <v>890929.63064338441</v>
      </c>
      <c r="Q408" s="783">
        <f>Q404</f>
        <v>22978.004923076922</v>
      </c>
    </row>
    <row r="409" spans="1:17" s="769" customFormat="1">
      <c r="A409" s="809" t="s">
        <v>767</v>
      </c>
      <c r="B409" s="810" t="s">
        <v>769</v>
      </c>
      <c r="C409" s="804" t="s">
        <v>51</v>
      </c>
      <c r="D409" s="801" t="s">
        <v>31</v>
      </c>
      <c r="E409" s="783">
        <f t="shared" ref="E409:E410" si="759">E405</f>
        <v>921097.3909499998</v>
      </c>
      <c r="F409" s="783"/>
      <c r="G409" s="783">
        <f t="shared" si="751"/>
        <v>9453.834230769231</v>
      </c>
      <c r="H409" s="783">
        <f t="shared" ref="H409:J409" si="760">H400</f>
        <v>10380.399999999998</v>
      </c>
      <c r="I409" s="783">
        <f t="shared" si="760"/>
        <v>5638.7688214285708</v>
      </c>
      <c r="J409" s="783">
        <f t="shared" si="760"/>
        <v>11413.97082</v>
      </c>
      <c r="K409" s="776">
        <f t="shared" si="753"/>
        <v>957984.36482219759</v>
      </c>
      <c r="L409" s="776">
        <f t="shared" si="754"/>
        <v>143697.65472332964</v>
      </c>
      <c r="M409" s="776">
        <f t="shared" si="755"/>
        <v>1101682.0195455272</v>
      </c>
      <c r="N409" s="776">
        <f t="shared" si="756"/>
        <v>952345.59600076906</v>
      </c>
      <c r="O409" s="776">
        <f t="shared" si="757"/>
        <v>142851.83940011536</v>
      </c>
      <c r="P409" s="776">
        <f t="shared" si="758"/>
        <v>1095197.4354008844</v>
      </c>
      <c r="Q409" s="783">
        <f t="shared" ref="Q409:Q410" si="761">Q405</f>
        <v>28571.659769230766</v>
      </c>
    </row>
    <row r="410" spans="1:17" s="769" customFormat="1">
      <c r="A410" s="809" t="s">
        <v>767</v>
      </c>
      <c r="B410" s="810" t="s">
        <v>770</v>
      </c>
      <c r="C410" s="804" t="s">
        <v>51</v>
      </c>
      <c r="D410" s="801" t="s">
        <v>31</v>
      </c>
      <c r="E410" s="783">
        <f t="shared" si="759"/>
        <v>1149756.0459</v>
      </c>
      <c r="F410" s="783"/>
      <c r="G410" s="783">
        <f t="shared" si="751"/>
        <v>12289.984499999999</v>
      </c>
      <c r="H410" s="783">
        <f t="shared" ref="H410:J410" si="762">H401</f>
        <v>10380.399999999998</v>
      </c>
      <c r="I410" s="783">
        <f t="shared" si="762"/>
        <v>7330.3994678571435</v>
      </c>
      <c r="J410" s="783">
        <f t="shared" si="762"/>
        <v>14838.162066000001</v>
      </c>
      <c r="K410" s="776">
        <f t="shared" si="753"/>
        <v>1194594.9919338571</v>
      </c>
      <c r="L410" s="776">
        <f t="shared" si="754"/>
        <v>179189.24879007856</v>
      </c>
      <c r="M410" s="776">
        <f t="shared" si="755"/>
        <v>1373784.2407239357</v>
      </c>
      <c r="N410" s="776">
        <f t="shared" si="756"/>
        <v>1187264.592466</v>
      </c>
      <c r="O410" s="776">
        <f t="shared" si="757"/>
        <v>178089.68886989998</v>
      </c>
      <c r="P410" s="776">
        <f t="shared" si="758"/>
        <v>1365354.2813359001</v>
      </c>
      <c r="Q410" s="783">
        <f t="shared" si="761"/>
        <v>35573.415307692303</v>
      </c>
    </row>
    <row r="411" spans="1:17" s="769" customFormat="1">
      <c r="A411" s="771">
        <v>20</v>
      </c>
      <c r="B411" s="808" t="s">
        <v>270</v>
      </c>
      <c r="C411" s="804" t="s">
        <v>51</v>
      </c>
      <c r="D411" s="801" t="s">
        <v>31</v>
      </c>
      <c r="E411" s="783"/>
      <c r="F411" s="783"/>
      <c r="G411" s="783"/>
      <c r="H411" s="783"/>
      <c r="I411" s="783"/>
      <c r="J411" s="783"/>
      <c r="K411" s="776"/>
      <c r="L411" s="776"/>
      <c r="M411" s="776"/>
      <c r="N411" s="776"/>
      <c r="O411" s="776"/>
      <c r="P411" s="776"/>
      <c r="Q411" s="783"/>
    </row>
    <row r="412" spans="1:17" s="769" customFormat="1">
      <c r="A412" s="771">
        <v>20.100000000000001</v>
      </c>
      <c r="B412" s="808" t="s">
        <v>771</v>
      </c>
      <c r="C412" s="804" t="s">
        <v>51</v>
      </c>
      <c r="D412" s="801" t="s">
        <v>31</v>
      </c>
      <c r="E412" s="783"/>
      <c r="F412" s="783"/>
      <c r="G412" s="783"/>
      <c r="H412" s="783"/>
      <c r="I412" s="783"/>
      <c r="J412" s="783"/>
      <c r="K412" s="776"/>
      <c r="L412" s="776"/>
      <c r="M412" s="776"/>
      <c r="N412" s="776"/>
      <c r="O412" s="776"/>
      <c r="P412" s="776"/>
      <c r="Q412" s="783"/>
    </row>
    <row r="413" spans="1:17" s="769" customFormat="1">
      <c r="A413" s="809" t="s">
        <v>767</v>
      </c>
      <c r="B413" s="810" t="s">
        <v>768</v>
      </c>
      <c r="C413" s="804" t="s">
        <v>51</v>
      </c>
      <c r="D413" s="801" t="s">
        <v>31</v>
      </c>
      <c r="E413" s="783">
        <f>NCong!M530</f>
        <v>737952.85409999988</v>
      </c>
      <c r="F413" s="783"/>
      <c r="G413" s="783">
        <f>G404</f>
        <v>15756.390384615384</v>
      </c>
      <c r="H413" s="783">
        <f t="shared" ref="H413:J413" si="763">H404</f>
        <v>31754</v>
      </c>
      <c r="I413" s="783">
        <f t="shared" si="763"/>
        <v>9397.9480357142857</v>
      </c>
      <c r="J413" s="783">
        <f t="shared" si="763"/>
        <v>19023.2847</v>
      </c>
      <c r="K413" s="776">
        <f t="shared" ref="K413:K415" si="764">SUM(E413:J413)</f>
        <v>813884.47722032957</v>
      </c>
      <c r="L413" s="776">
        <f t="shared" ref="L413:L415" si="765">K413*15%</f>
        <v>122082.67158304944</v>
      </c>
      <c r="M413" s="776">
        <f t="shared" ref="M413:M415" si="766">K413+L413</f>
        <v>935967.14880337904</v>
      </c>
      <c r="N413" s="776">
        <f t="shared" ref="N413:N415" si="767">K413-I413</f>
        <v>804486.52918461524</v>
      </c>
      <c r="O413" s="776">
        <f t="shared" ref="O413:O415" si="768">$L$6*N413</f>
        <v>120672.97937769227</v>
      </c>
      <c r="P413" s="776">
        <f t="shared" ref="P413:P415" si="769">N413+O413</f>
        <v>925159.50856230757</v>
      </c>
      <c r="Q413" s="783">
        <f>NCong!P530</f>
        <v>22829.007384615383</v>
      </c>
    </row>
    <row r="414" spans="1:17" s="769" customFormat="1">
      <c r="A414" s="809" t="s">
        <v>767</v>
      </c>
      <c r="B414" s="810" t="s">
        <v>769</v>
      </c>
      <c r="C414" s="804" t="s">
        <v>51</v>
      </c>
      <c r="D414" s="801" t="s">
        <v>31</v>
      </c>
      <c r="E414" s="783">
        <f>NCong!N530</f>
        <v>913475.53192499978</v>
      </c>
      <c r="F414" s="783"/>
      <c r="G414" s="783">
        <f t="shared" ref="G414:J419" si="770">G405</f>
        <v>15756.390384615384</v>
      </c>
      <c r="H414" s="783">
        <f t="shared" si="770"/>
        <v>31754</v>
      </c>
      <c r="I414" s="783">
        <f t="shared" si="770"/>
        <v>9397.9480357142857</v>
      </c>
      <c r="J414" s="783">
        <f t="shared" si="770"/>
        <v>19023.2847</v>
      </c>
      <c r="K414" s="776">
        <f t="shared" si="764"/>
        <v>989407.15504532948</v>
      </c>
      <c r="L414" s="776">
        <f t="shared" si="765"/>
        <v>148411.07325679943</v>
      </c>
      <c r="M414" s="776">
        <f t="shared" si="766"/>
        <v>1137818.2283021288</v>
      </c>
      <c r="N414" s="776">
        <f t="shared" si="767"/>
        <v>980009.20700961514</v>
      </c>
      <c r="O414" s="776">
        <f t="shared" si="768"/>
        <v>147001.38105144227</v>
      </c>
      <c r="P414" s="776">
        <f t="shared" si="769"/>
        <v>1127010.5880610575</v>
      </c>
      <c r="Q414" s="783">
        <f>NCong!Q530</f>
        <v>28365.941576923073</v>
      </c>
    </row>
    <row r="415" spans="1:17" s="769" customFormat="1">
      <c r="A415" s="809" t="s">
        <v>767</v>
      </c>
      <c r="B415" s="810" t="s">
        <v>770</v>
      </c>
      <c r="C415" s="804" t="s">
        <v>51</v>
      </c>
      <c r="D415" s="801" t="s">
        <v>31</v>
      </c>
      <c r="E415" s="783">
        <f>NCong!O530</f>
        <v>1135923.7832250001</v>
      </c>
      <c r="F415" s="783"/>
      <c r="G415" s="783">
        <f t="shared" si="770"/>
        <v>20483.307499999999</v>
      </c>
      <c r="H415" s="783">
        <f t="shared" si="770"/>
        <v>31754</v>
      </c>
      <c r="I415" s="783">
        <f t="shared" si="770"/>
        <v>12217.332446428572</v>
      </c>
      <c r="J415" s="783">
        <f t="shared" si="770"/>
        <v>24730.270110000001</v>
      </c>
      <c r="K415" s="776">
        <f t="shared" si="764"/>
        <v>1225108.6932814287</v>
      </c>
      <c r="L415" s="776">
        <f t="shared" si="765"/>
        <v>183766.30399221429</v>
      </c>
      <c r="M415" s="776">
        <f t="shared" si="766"/>
        <v>1408874.997273643</v>
      </c>
      <c r="N415" s="776">
        <f t="shared" si="767"/>
        <v>1212891.3608350002</v>
      </c>
      <c r="O415" s="776">
        <f t="shared" si="768"/>
        <v>181933.70412525002</v>
      </c>
      <c r="P415" s="776">
        <f t="shared" si="769"/>
        <v>1394825.0649602502</v>
      </c>
      <c r="Q415" s="783">
        <f>NCong!R530</f>
        <v>35200.07488461538</v>
      </c>
    </row>
    <row r="416" spans="1:17" s="769" customFormat="1">
      <c r="A416" s="771">
        <v>20.2</v>
      </c>
      <c r="B416" s="808" t="s">
        <v>772</v>
      </c>
      <c r="C416" s="804" t="s">
        <v>51</v>
      </c>
      <c r="D416" s="801" t="s">
        <v>31</v>
      </c>
      <c r="E416" s="783"/>
      <c r="F416" s="783"/>
      <c r="G416" s="783"/>
      <c r="H416" s="783"/>
      <c r="I416" s="783"/>
      <c r="J416" s="783"/>
      <c r="K416" s="776"/>
      <c r="L416" s="776"/>
      <c r="M416" s="776"/>
      <c r="N416" s="776"/>
      <c r="O416" s="776"/>
      <c r="P416" s="776"/>
      <c r="Q416" s="783"/>
    </row>
    <row r="417" spans="1:17" s="769" customFormat="1">
      <c r="A417" s="809" t="s">
        <v>767</v>
      </c>
      <c r="B417" s="810" t="s">
        <v>768</v>
      </c>
      <c r="C417" s="804" t="s">
        <v>51</v>
      </c>
      <c r="D417" s="801" t="s">
        <v>31</v>
      </c>
      <c r="E417" s="783">
        <f>E413</f>
        <v>737952.85409999988</v>
      </c>
      <c r="F417" s="783"/>
      <c r="G417" s="783">
        <f t="shared" si="770"/>
        <v>9453.834230769231</v>
      </c>
      <c r="H417" s="783">
        <f t="shared" ref="H417:J417" si="771">H408</f>
        <v>10380.399999999998</v>
      </c>
      <c r="I417" s="783">
        <f t="shared" si="771"/>
        <v>5638.7688214285708</v>
      </c>
      <c r="J417" s="783">
        <f t="shared" si="771"/>
        <v>11413.97082</v>
      </c>
      <c r="K417" s="776">
        <f t="shared" ref="K417:K419" si="772">SUM(E417:J417)</f>
        <v>774839.82797219767</v>
      </c>
      <c r="L417" s="776">
        <f t="shared" ref="L417:L419" si="773">K417*15%</f>
        <v>116225.97419582965</v>
      </c>
      <c r="M417" s="776">
        <f t="shared" ref="M417:M419" si="774">K417+L417</f>
        <v>891065.80216802726</v>
      </c>
      <c r="N417" s="776">
        <f t="shared" ref="N417:N419" si="775">K417-I417</f>
        <v>769201.05915076914</v>
      </c>
      <c r="O417" s="776">
        <f t="shared" ref="O417:O419" si="776">$L$6*N417</f>
        <v>115380.15887261537</v>
      </c>
      <c r="P417" s="776">
        <f t="shared" ref="P417:P419" si="777">N417+O417</f>
        <v>884581.21802338446</v>
      </c>
      <c r="Q417" s="783">
        <f>Q413</f>
        <v>22829.007384615383</v>
      </c>
    </row>
    <row r="418" spans="1:17" s="769" customFormat="1">
      <c r="A418" s="809" t="s">
        <v>767</v>
      </c>
      <c r="B418" s="810" t="s">
        <v>769</v>
      </c>
      <c r="C418" s="804" t="s">
        <v>51</v>
      </c>
      <c r="D418" s="801" t="s">
        <v>31</v>
      </c>
      <c r="E418" s="783">
        <f t="shared" ref="E418:E419" si="778">E414</f>
        <v>913475.53192499978</v>
      </c>
      <c r="F418" s="783"/>
      <c r="G418" s="783">
        <f t="shared" si="770"/>
        <v>9453.834230769231</v>
      </c>
      <c r="H418" s="783">
        <f t="shared" ref="H418:J418" si="779">H409</f>
        <v>10380.399999999998</v>
      </c>
      <c r="I418" s="783">
        <f t="shared" si="779"/>
        <v>5638.7688214285708</v>
      </c>
      <c r="J418" s="783">
        <f t="shared" si="779"/>
        <v>11413.97082</v>
      </c>
      <c r="K418" s="776">
        <f t="shared" si="772"/>
        <v>950362.50579719758</v>
      </c>
      <c r="L418" s="776">
        <f t="shared" si="773"/>
        <v>142554.37586957964</v>
      </c>
      <c r="M418" s="776">
        <f t="shared" si="774"/>
        <v>1092916.8816667772</v>
      </c>
      <c r="N418" s="776">
        <f t="shared" si="775"/>
        <v>944723.73697576905</v>
      </c>
      <c r="O418" s="776">
        <f t="shared" si="776"/>
        <v>141708.56054636536</v>
      </c>
      <c r="P418" s="776">
        <f t="shared" si="777"/>
        <v>1086432.2975221344</v>
      </c>
      <c r="Q418" s="783">
        <f t="shared" ref="Q418:Q419" si="780">Q414</f>
        <v>28365.941576923073</v>
      </c>
    </row>
    <row r="419" spans="1:17" s="769" customFormat="1">
      <c r="A419" s="809" t="s">
        <v>767</v>
      </c>
      <c r="B419" s="810" t="s">
        <v>770</v>
      </c>
      <c r="C419" s="804" t="s">
        <v>51</v>
      </c>
      <c r="D419" s="801" t="s">
        <v>31</v>
      </c>
      <c r="E419" s="783">
        <f t="shared" si="778"/>
        <v>1135923.7832250001</v>
      </c>
      <c r="F419" s="783"/>
      <c r="G419" s="783">
        <f t="shared" si="770"/>
        <v>12289.984499999999</v>
      </c>
      <c r="H419" s="783">
        <f t="shared" ref="H419:J419" si="781">H410</f>
        <v>10380.399999999998</v>
      </c>
      <c r="I419" s="783">
        <f t="shared" si="781"/>
        <v>7330.3994678571435</v>
      </c>
      <c r="J419" s="783">
        <f t="shared" si="781"/>
        <v>14838.162066000001</v>
      </c>
      <c r="K419" s="776">
        <f t="shared" si="772"/>
        <v>1180762.7292588572</v>
      </c>
      <c r="L419" s="776">
        <f t="shared" si="773"/>
        <v>177114.40938882859</v>
      </c>
      <c r="M419" s="776">
        <f t="shared" si="774"/>
        <v>1357877.1386476858</v>
      </c>
      <c r="N419" s="776">
        <f t="shared" si="775"/>
        <v>1173432.3297910001</v>
      </c>
      <c r="O419" s="776">
        <f t="shared" si="776"/>
        <v>176014.84946865001</v>
      </c>
      <c r="P419" s="776">
        <f t="shared" si="777"/>
        <v>1349447.1792596502</v>
      </c>
      <c r="Q419" s="783">
        <f t="shared" si="780"/>
        <v>35200.07488461538</v>
      </c>
    </row>
    <row r="420" spans="1:17" s="769" customFormat="1">
      <c r="A420" s="771">
        <v>21</v>
      </c>
      <c r="B420" s="808" t="s">
        <v>272</v>
      </c>
      <c r="C420" s="804" t="s">
        <v>51</v>
      </c>
      <c r="D420" s="801" t="s">
        <v>31</v>
      </c>
      <c r="E420" s="783"/>
      <c r="F420" s="783"/>
      <c r="G420" s="783"/>
      <c r="H420" s="783"/>
      <c r="I420" s="783"/>
      <c r="J420" s="783"/>
      <c r="K420" s="776"/>
      <c r="L420" s="776"/>
      <c r="M420" s="776"/>
      <c r="N420" s="776"/>
      <c r="O420" s="776"/>
      <c r="P420" s="776"/>
      <c r="Q420" s="783"/>
    </row>
    <row r="421" spans="1:17" s="769" customFormat="1">
      <c r="A421" s="771">
        <v>21.1</v>
      </c>
      <c r="B421" s="808" t="s">
        <v>771</v>
      </c>
      <c r="C421" s="804" t="s">
        <v>51</v>
      </c>
      <c r="D421" s="801" t="s">
        <v>31</v>
      </c>
      <c r="E421" s="783"/>
      <c r="F421" s="783"/>
      <c r="G421" s="783"/>
      <c r="H421" s="783"/>
      <c r="I421" s="783"/>
      <c r="J421" s="783"/>
      <c r="K421" s="776"/>
      <c r="L421" s="776"/>
      <c r="M421" s="776"/>
      <c r="N421" s="776"/>
      <c r="O421" s="776"/>
      <c r="P421" s="776"/>
      <c r="Q421" s="783"/>
    </row>
    <row r="422" spans="1:17" s="769" customFormat="1">
      <c r="A422" s="809" t="s">
        <v>767</v>
      </c>
      <c r="B422" s="810" t="s">
        <v>768</v>
      </c>
      <c r="C422" s="804" t="s">
        <v>51</v>
      </c>
      <c r="D422" s="801" t="s">
        <v>31</v>
      </c>
      <c r="E422" s="783">
        <f>NCong!M531</f>
        <v>753117.97769999981</v>
      </c>
      <c r="F422" s="783"/>
      <c r="G422" s="783">
        <f>G413</f>
        <v>15756.390384615384</v>
      </c>
      <c r="H422" s="783">
        <f t="shared" ref="H422:J422" si="782">H413</f>
        <v>31754</v>
      </c>
      <c r="I422" s="783">
        <f t="shared" si="782"/>
        <v>9397.9480357142857</v>
      </c>
      <c r="J422" s="783">
        <f t="shared" si="782"/>
        <v>19023.2847</v>
      </c>
      <c r="K422" s="776">
        <f t="shared" ref="K422:K424" si="783">SUM(E422:J422)</f>
        <v>829049.60082032951</v>
      </c>
      <c r="L422" s="776">
        <f t="shared" ref="L422:L424" si="784">K422*15%</f>
        <v>124357.44012304943</v>
      </c>
      <c r="M422" s="776">
        <f t="shared" ref="M422:M424" si="785">K422+L422</f>
        <v>953407.04094337893</v>
      </c>
      <c r="N422" s="776">
        <f t="shared" ref="N422:N424" si="786">K422-I422</f>
        <v>819651.65278461517</v>
      </c>
      <c r="O422" s="776">
        <f t="shared" ref="O422:O424" si="787">$L$6*N422</f>
        <v>122947.74791769226</v>
      </c>
      <c r="P422" s="776">
        <f t="shared" ref="P422:P424" si="788">N422+O422</f>
        <v>942599.40070230747</v>
      </c>
      <c r="Q422" s="783">
        <f>NCong!P531</f>
        <v>23238.322461538461</v>
      </c>
    </row>
    <row r="423" spans="1:17" s="769" customFormat="1">
      <c r="A423" s="809" t="s">
        <v>767</v>
      </c>
      <c r="B423" s="810" t="s">
        <v>769</v>
      </c>
      <c r="C423" s="804" t="s">
        <v>51</v>
      </c>
      <c r="D423" s="801" t="s">
        <v>31</v>
      </c>
      <c r="E423" s="783">
        <f>NCong!N531</f>
        <v>934413.74234999984</v>
      </c>
      <c r="F423" s="783"/>
      <c r="G423" s="783">
        <f t="shared" ref="G423:J428" si="789">G414</f>
        <v>15756.390384615384</v>
      </c>
      <c r="H423" s="783">
        <f t="shared" si="789"/>
        <v>31754</v>
      </c>
      <c r="I423" s="783">
        <f t="shared" si="789"/>
        <v>9397.9480357142857</v>
      </c>
      <c r="J423" s="783">
        <f t="shared" si="789"/>
        <v>19023.2847</v>
      </c>
      <c r="K423" s="776">
        <f t="shared" si="783"/>
        <v>1010345.3654703295</v>
      </c>
      <c r="L423" s="776">
        <f t="shared" si="784"/>
        <v>151551.80482054941</v>
      </c>
      <c r="M423" s="776">
        <f t="shared" si="785"/>
        <v>1161897.170290879</v>
      </c>
      <c r="N423" s="776">
        <f t="shared" si="786"/>
        <v>1000947.4174346152</v>
      </c>
      <c r="O423" s="776">
        <f t="shared" si="787"/>
        <v>150142.11261519228</v>
      </c>
      <c r="P423" s="776">
        <f t="shared" si="788"/>
        <v>1151089.5300498074</v>
      </c>
      <c r="Q423" s="783">
        <f>NCong!Q531</f>
        <v>28931.075461538458</v>
      </c>
    </row>
    <row r="424" spans="1:17" s="769" customFormat="1">
      <c r="A424" s="809" t="s">
        <v>767</v>
      </c>
      <c r="B424" s="810" t="s">
        <v>770</v>
      </c>
      <c r="C424" s="804" t="s">
        <v>51</v>
      </c>
      <c r="D424" s="801" t="s">
        <v>31</v>
      </c>
      <c r="E424" s="783">
        <f>NCong!O531</f>
        <v>1173922.7577000002</v>
      </c>
      <c r="F424" s="783"/>
      <c r="G424" s="783">
        <f t="shared" si="789"/>
        <v>20483.307499999999</v>
      </c>
      <c r="H424" s="783">
        <f t="shared" si="789"/>
        <v>31754</v>
      </c>
      <c r="I424" s="783">
        <f t="shared" si="789"/>
        <v>12217.332446428572</v>
      </c>
      <c r="J424" s="783">
        <f t="shared" si="789"/>
        <v>24730.270110000001</v>
      </c>
      <c r="K424" s="776">
        <f t="shared" si="783"/>
        <v>1263107.6677564287</v>
      </c>
      <c r="L424" s="776">
        <f t="shared" si="784"/>
        <v>189466.15016346431</v>
      </c>
      <c r="M424" s="776">
        <f t="shared" si="785"/>
        <v>1452573.817919893</v>
      </c>
      <c r="N424" s="776">
        <f t="shared" si="786"/>
        <v>1250890.3353100002</v>
      </c>
      <c r="O424" s="776">
        <f t="shared" si="787"/>
        <v>187633.55029650003</v>
      </c>
      <c r="P424" s="776">
        <f t="shared" si="788"/>
        <v>1438523.8856065003</v>
      </c>
      <c r="Q424" s="783">
        <f>NCong!R531</f>
        <v>36225.688230769221</v>
      </c>
    </row>
    <row r="425" spans="1:17" s="769" customFormat="1">
      <c r="A425" s="771">
        <v>21.2</v>
      </c>
      <c r="B425" s="808" t="s">
        <v>772</v>
      </c>
      <c r="C425" s="804" t="s">
        <v>51</v>
      </c>
      <c r="D425" s="801" t="s">
        <v>31</v>
      </c>
      <c r="E425" s="783"/>
      <c r="F425" s="783"/>
      <c r="G425" s="783"/>
      <c r="H425" s="783"/>
      <c r="I425" s="783"/>
      <c r="J425" s="783"/>
      <c r="K425" s="776"/>
      <c r="L425" s="776"/>
      <c r="M425" s="776"/>
      <c r="N425" s="776"/>
      <c r="O425" s="776"/>
      <c r="P425" s="776"/>
      <c r="Q425" s="783"/>
    </row>
    <row r="426" spans="1:17" s="769" customFormat="1">
      <c r="A426" s="809" t="s">
        <v>767</v>
      </c>
      <c r="B426" s="810" t="s">
        <v>768</v>
      </c>
      <c r="C426" s="804" t="s">
        <v>51</v>
      </c>
      <c r="D426" s="801" t="s">
        <v>31</v>
      </c>
      <c r="E426" s="783">
        <f>E422</f>
        <v>753117.97769999981</v>
      </c>
      <c r="F426" s="783"/>
      <c r="G426" s="783">
        <f t="shared" si="789"/>
        <v>9453.834230769231</v>
      </c>
      <c r="H426" s="783">
        <f t="shared" ref="H426:J426" si="790">H417</f>
        <v>10380.399999999998</v>
      </c>
      <c r="I426" s="783">
        <f t="shared" si="790"/>
        <v>5638.7688214285708</v>
      </c>
      <c r="J426" s="783">
        <f t="shared" si="790"/>
        <v>11413.97082</v>
      </c>
      <c r="K426" s="776">
        <f t="shared" ref="K426:K428" si="791">SUM(E426:J426)</f>
        <v>790004.95157219761</v>
      </c>
      <c r="L426" s="776">
        <f t="shared" ref="L426:L428" si="792">K426*15%</f>
        <v>118500.74273582964</v>
      </c>
      <c r="M426" s="776">
        <f t="shared" ref="M426:M428" si="793">K426+L426</f>
        <v>908505.69430802728</v>
      </c>
      <c r="N426" s="776">
        <f t="shared" ref="N426:N428" si="794">K426-I426</f>
        <v>784366.18275076908</v>
      </c>
      <c r="O426" s="776">
        <f t="shared" ref="O426:O428" si="795">$L$6*N426</f>
        <v>117654.92741261536</v>
      </c>
      <c r="P426" s="776">
        <f t="shared" ref="P426:P428" si="796">N426+O426</f>
        <v>902021.11016338447</v>
      </c>
      <c r="Q426" s="783">
        <f>Q422</f>
        <v>23238.322461538461</v>
      </c>
    </row>
    <row r="427" spans="1:17" s="769" customFormat="1">
      <c r="A427" s="809" t="s">
        <v>767</v>
      </c>
      <c r="B427" s="810" t="s">
        <v>769</v>
      </c>
      <c r="C427" s="804" t="s">
        <v>51</v>
      </c>
      <c r="D427" s="801" t="s">
        <v>31</v>
      </c>
      <c r="E427" s="783">
        <f t="shared" ref="E427:E428" si="797">E423</f>
        <v>934413.74234999984</v>
      </c>
      <c r="F427" s="783"/>
      <c r="G427" s="783">
        <f t="shared" si="789"/>
        <v>9453.834230769231</v>
      </c>
      <c r="H427" s="783">
        <f t="shared" ref="H427:J427" si="798">H418</f>
        <v>10380.399999999998</v>
      </c>
      <c r="I427" s="783">
        <f t="shared" si="798"/>
        <v>5638.7688214285708</v>
      </c>
      <c r="J427" s="783">
        <f t="shared" si="798"/>
        <v>11413.97082</v>
      </c>
      <c r="K427" s="776">
        <f t="shared" si="791"/>
        <v>971300.71622219763</v>
      </c>
      <c r="L427" s="776">
        <f t="shared" si="792"/>
        <v>145695.10743332963</v>
      </c>
      <c r="M427" s="776">
        <f t="shared" si="793"/>
        <v>1116995.8236555273</v>
      </c>
      <c r="N427" s="776">
        <f t="shared" si="794"/>
        <v>965661.9474007691</v>
      </c>
      <c r="O427" s="776">
        <f t="shared" si="795"/>
        <v>144849.29211011535</v>
      </c>
      <c r="P427" s="776">
        <f t="shared" si="796"/>
        <v>1110511.2395108845</v>
      </c>
      <c r="Q427" s="783">
        <f t="shared" ref="Q427:Q428" si="799">Q423</f>
        <v>28931.075461538458</v>
      </c>
    </row>
    <row r="428" spans="1:17" s="769" customFormat="1">
      <c r="A428" s="809" t="s">
        <v>767</v>
      </c>
      <c r="B428" s="810" t="s">
        <v>770</v>
      </c>
      <c r="C428" s="804" t="s">
        <v>51</v>
      </c>
      <c r="D428" s="801" t="s">
        <v>31</v>
      </c>
      <c r="E428" s="783">
        <f t="shared" si="797"/>
        <v>1173922.7577000002</v>
      </c>
      <c r="F428" s="783"/>
      <c r="G428" s="783">
        <f t="shared" si="789"/>
        <v>12289.984499999999</v>
      </c>
      <c r="H428" s="783">
        <f t="shared" ref="H428:J428" si="800">H419</f>
        <v>10380.399999999998</v>
      </c>
      <c r="I428" s="783">
        <f t="shared" si="800"/>
        <v>7330.3994678571435</v>
      </c>
      <c r="J428" s="783">
        <f t="shared" si="800"/>
        <v>14838.162066000001</v>
      </c>
      <c r="K428" s="776">
        <f t="shared" si="791"/>
        <v>1218761.7037338573</v>
      </c>
      <c r="L428" s="776">
        <f t="shared" si="792"/>
        <v>182814.25556007857</v>
      </c>
      <c r="M428" s="776">
        <f t="shared" si="793"/>
        <v>1401575.9592939359</v>
      </c>
      <c r="N428" s="776">
        <f t="shared" si="794"/>
        <v>1211431.3042660002</v>
      </c>
      <c r="O428" s="776">
        <f t="shared" si="795"/>
        <v>181714.69563990002</v>
      </c>
      <c r="P428" s="776">
        <f t="shared" si="796"/>
        <v>1393145.9999059001</v>
      </c>
      <c r="Q428" s="783">
        <f t="shared" si="799"/>
        <v>36225.688230769221</v>
      </c>
    </row>
    <row r="429" spans="1:17" s="769" customFormat="1" ht="14">
      <c r="A429" s="771">
        <v>22</v>
      </c>
      <c r="B429" s="808" t="s">
        <v>274</v>
      </c>
      <c r="C429" s="804" t="s">
        <v>51</v>
      </c>
      <c r="D429" s="801" t="s">
        <v>31</v>
      </c>
      <c r="E429" s="783"/>
      <c r="F429" s="783"/>
      <c r="G429" s="783"/>
      <c r="H429" s="783"/>
      <c r="I429" s="783"/>
      <c r="J429" s="783"/>
      <c r="K429" s="776"/>
      <c r="L429" s="776"/>
      <c r="M429" s="776"/>
      <c r="N429" s="776"/>
      <c r="O429" s="776"/>
      <c r="P429" s="776"/>
      <c r="Q429" s="783"/>
    </row>
    <row r="430" spans="1:17" s="769" customFormat="1">
      <c r="A430" s="771">
        <v>22.1</v>
      </c>
      <c r="B430" s="808" t="s">
        <v>771</v>
      </c>
      <c r="C430" s="804" t="s">
        <v>51</v>
      </c>
      <c r="D430" s="801" t="s">
        <v>31</v>
      </c>
      <c r="E430" s="783"/>
      <c r="F430" s="783"/>
      <c r="G430" s="783"/>
      <c r="H430" s="783"/>
      <c r="I430" s="783"/>
      <c r="J430" s="783"/>
      <c r="K430" s="776"/>
      <c r="L430" s="776"/>
      <c r="M430" s="776"/>
      <c r="N430" s="776"/>
      <c r="O430" s="776"/>
      <c r="P430" s="776"/>
      <c r="Q430" s="783"/>
    </row>
    <row r="431" spans="1:17" s="769" customFormat="1">
      <c r="A431" s="809" t="s">
        <v>767</v>
      </c>
      <c r="B431" s="810" t="s">
        <v>768</v>
      </c>
      <c r="C431" s="804" t="s">
        <v>51</v>
      </c>
      <c r="D431" s="801" t="s">
        <v>31</v>
      </c>
      <c r="E431" s="783">
        <f>NCong!M532</f>
        <v>737952.85409999988</v>
      </c>
      <c r="F431" s="783"/>
      <c r="G431" s="783">
        <f>G422</f>
        <v>15756.390384615384</v>
      </c>
      <c r="H431" s="783">
        <f t="shared" ref="H431:J431" si="801">H422</f>
        <v>31754</v>
      </c>
      <c r="I431" s="783">
        <f t="shared" si="801"/>
        <v>9397.9480357142857</v>
      </c>
      <c r="J431" s="783">
        <f t="shared" si="801"/>
        <v>19023.2847</v>
      </c>
      <c r="K431" s="776">
        <f t="shared" ref="K431:K433" si="802">SUM(E431:J431)</f>
        <v>813884.47722032957</v>
      </c>
      <c r="L431" s="776">
        <f t="shared" ref="L431:L433" si="803">K431*15%</f>
        <v>122082.67158304944</v>
      </c>
      <c r="M431" s="776">
        <f t="shared" ref="M431:M433" si="804">K431+L431</f>
        <v>935967.14880337904</v>
      </c>
      <c r="N431" s="776">
        <f t="shared" ref="N431:N433" si="805">K431-I431</f>
        <v>804486.52918461524</v>
      </c>
      <c r="O431" s="776">
        <f t="shared" ref="O431:O433" si="806">$L$6*N431</f>
        <v>120672.97937769227</v>
      </c>
      <c r="P431" s="776">
        <f t="shared" ref="P431:P433" si="807">N431+O431</f>
        <v>925159.50856230757</v>
      </c>
      <c r="Q431" s="783">
        <f>NCong!P532</f>
        <v>22829.007384615383</v>
      </c>
    </row>
    <row r="432" spans="1:17" s="769" customFormat="1">
      <c r="A432" s="809" t="s">
        <v>767</v>
      </c>
      <c r="B432" s="810" t="s">
        <v>769</v>
      </c>
      <c r="C432" s="804" t="s">
        <v>51</v>
      </c>
      <c r="D432" s="801" t="s">
        <v>31</v>
      </c>
      <c r="E432" s="783">
        <f>NCong!N532</f>
        <v>913475.53192499978</v>
      </c>
      <c r="F432" s="783"/>
      <c r="G432" s="783">
        <f t="shared" ref="G432:J432" si="808">G423</f>
        <v>15756.390384615384</v>
      </c>
      <c r="H432" s="783">
        <f t="shared" si="808"/>
        <v>31754</v>
      </c>
      <c r="I432" s="783">
        <f t="shared" si="808"/>
        <v>9397.9480357142857</v>
      </c>
      <c r="J432" s="783">
        <f t="shared" si="808"/>
        <v>19023.2847</v>
      </c>
      <c r="K432" s="776">
        <f t="shared" si="802"/>
        <v>989407.15504532948</v>
      </c>
      <c r="L432" s="776">
        <f t="shared" si="803"/>
        <v>148411.07325679943</v>
      </c>
      <c r="M432" s="776">
        <f t="shared" si="804"/>
        <v>1137818.2283021288</v>
      </c>
      <c r="N432" s="776">
        <f t="shared" si="805"/>
        <v>980009.20700961514</v>
      </c>
      <c r="O432" s="776">
        <f t="shared" si="806"/>
        <v>147001.38105144227</v>
      </c>
      <c r="P432" s="776">
        <f t="shared" si="807"/>
        <v>1127010.5880610575</v>
      </c>
      <c r="Q432" s="783">
        <f>NCong!Q532</f>
        <v>28365.941576923073</v>
      </c>
    </row>
    <row r="433" spans="1:17" s="769" customFormat="1">
      <c r="A433" s="809" t="s">
        <v>767</v>
      </c>
      <c r="B433" s="810" t="s">
        <v>770</v>
      </c>
      <c r="C433" s="804" t="s">
        <v>51</v>
      </c>
      <c r="D433" s="801" t="s">
        <v>31</v>
      </c>
      <c r="E433" s="783">
        <f>NCong!O532</f>
        <v>1135923.7832250001</v>
      </c>
      <c r="F433" s="783"/>
      <c r="G433" s="783">
        <f t="shared" ref="G433:J433" si="809">G424</f>
        <v>20483.307499999999</v>
      </c>
      <c r="H433" s="783">
        <f t="shared" si="809"/>
        <v>31754</v>
      </c>
      <c r="I433" s="783">
        <f t="shared" si="809"/>
        <v>12217.332446428572</v>
      </c>
      <c r="J433" s="783">
        <f t="shared" si="809"/>
        <v>24730.270110000001</v>
      </c>
      <c r="K433" s="776">
        <f t="shared" si="802"/>
        <v>1225108.6932814287</v>
      </c>
      <c r="L433" s="776">
        <f t="shared" si="803"/>
        <v>183766.30399221429</v>
      </c>
      <c r="M433" s="776">
        <f t="shared" si="804"/>
        <v>1408874.997273643</v>
      </c>
      <c r="N433" s="776">
        <f t="shared" si="805"/>
        <v>1212891.3608350002</v>
      </c>
      <c r="O433" s="776">
        <f t="shared" si="806"/>
        <v>181933.70412525002</v>
      </c>
      <c r="P433" s="776">
        <f t="shared" si="807"/>
        <v>1394825.0649602502</v>
      </c>
      <c r="Q433" s="783">
        <f>NCong!R532</f>
        <v>35200.07488461538</v>
      </c>
    </row>
    <row r="434" spans="1:17" s="769" customFormat="1">
      <c r="A434" s="771">
        <v>22.2</v>
      </c>
      <c r="B434" s="808" t="s">
        <v>772</v>
      </c>
      <c r="C434" s="804" t="s">
        <v>51</v>
      </c>
      <c r="D434" s="801" t="s">
        <v>31</v>
      </c>
      <c r="E434" s="783"/>
      <c r="F434" s="783"/>
      <c r="G434" s="783"/>
      <c r="H434" s="783"/>
      <c r="I434" s="783"/>
      <c r="J434" s="783"/>
      <c r="K434" s="776"/>
      <c r="L434" s="776"/>
      <c r="M434" s="776"/>
      <c r="N434" s="776"/>
      <c r="O434" s="776"/>
      <c r="P434" s="776"/>
      <c r="Q434" s="783"/>
    </row>
    <row r="435" spans="1:17" s="769" customFormat="1">
      <c r="A435" s="809" t="s">
        <v>767</v>
      </c>
      <c r="B435" s="810" t="s">
        <v>768</v>
      </c>
      <c r="C435" s="804" t="s">
        <v>51</v>
      </c>
      <c r="D435" s="801" t="s">
        <v>31</v>
      </c>
      <c r="E435" s="783">
        <f>E431</f>
        <v>737952.85409999988</v>
      </c>
      <c r="F435" s="783"/>
      <c r="G435" s="783">
        <f t="shared" ref="G435:J435" si="810">G426</f>
        <v>9453.834230769231</v>
      </c>
      <c r="H435" s="783">
        <f t="shared" si="810"/>
        <v>10380.399999999998</v>
      </c>
      <c r="I435" s="783">
        <f t="shared" si="810"/>
        <v>5638.7688214285708</v>
      </c>
      <c r="J435" s="783">
        <f t="shared" si="810"/>
        <v>11413.97082</v>
      </c>
      <c r="K435" s="776">
        <f t="shared" ref="K435:K437" si="811">SUM(E435:J435)</f>
        <v>774839.82797219767</v>
      </c>
      <c r="L435" s="776">
        <f t="shared" ref="L435:L437" si="812">K435*15%</f>
        <v>116225.97419582965</v>
      </c>
      <c r="M435" s="776">
        <f t="shared" ref="M435:M437" si="813">K435+L435</f>
        <v>891065.80216802726</v>
      </c>
      <c r="N435" s="776">
        <f t="shared" ref="N435:N437" si="814">K435-I435</f>
        <v>769201.05915076914</v>
      </c>
      <c r="O435" s="776">
        <f t="shared" ref="O435:O437" si="815">$L$6*N435</f>
        <v>115380.15887261537</v>
      </c>
      <c r="P435" s="776">
        <f t="shared" ref="P435:P437" si="816">N435+O435</f>
        <v>884581.21802338446</v>
      </c>
      <c r="Q435" s="783">
        <f>Q431</f>
        <v>22829.007384615383</v>
      </c>
    </row>
    <row r="436" spans="1:17" s="769" customFormat="1">
      <c r="A436" s="809" t="s">
        <v>767</v>
      </c>
      <c r="B436" s="810" t="s">
        <v>769</v>
      </c>
      <c r="C436" s="804" t="s">
        <v>51</v>
      </c>
      <c r="D436" s="801" t="s">
        <v>31</v>
      </c>
      <c r="E436" s="783">
        <f t="shared" ref="E436:E437" si="817">E432</f>
        <v>913475.53192499978</v>
      </c>
      <c r="F436" s="783"/>
      <c r="G436" s="783">
        <f t="shared" ref="G436:J436" si="818">G427</f>
        <v>9453.834230769231</v>
      </c>
      <c r="H436" s="783">
        <f t="shared" si="818"/>
        <v>10380.399999999998</v>
      </c>
      <c r="I436" s="783">
        <f t="shared" si="818"/>
        <v>5638.7688214285708</v>
      </c>
      <c r="J436" s="783">
        <f t="shared" si="818"/>
        <v>11413.97082</v>
      </c>
      <c r="K436" s="776">
        <f t="shared" si="811"/>
        <v>950362.50579719758</v>
      </c>
      <c r="L436" s="776">
        <f t="shared" si="812"/>
        <v>142554.37586957964</v>
      </c>
      <c r="M436" s="776">
        <f t="shared" si="813"/>
        <v>1092916.8816667772</v>
      </c>
      <c r="N436" s="776">
        <f t="shared" si="814"/>
        <v>944723.73697576905</v>
      </c>
      <c r="O436" s="776">
        <f t="shared" si="815"/>
        <v>141708.56054636536</v>
      </c>
      <c r="P436" s="776">
        <f t="shared" si="816"/>
        <v>1086432.2975221344</v>
      </c>
      <c r="Q436" s="783">
        <f t="shared" ref="Q436:Q437" si="819">Q432</f>
        <v>28365.941576923073</v>
      </c>
    </row>
    <row r="437" spans="1:17" s="769" customFormat="1">
      <c r="A437" s="809" t="s">
        <v>767</v>
      </c>
      <c r="B437" s="810" t="s">
        <v>770</v>
      </c>
      <c r="C437" s="804" t="s">
        <v>51</v>
      </c>
      <c r="D437" s="801" t="s">
        <v>31</v>
      </c>
      <c r="E437" s="783">
        <f t="shared" si="817"/>
        <v>1135923.7832250001</v>
      </c>
      <c r="F437" s="783"/>
      <c r="G437" s="783">
        <f t="shared" ref="G437:J437" si="820">G428</f>
        <v>12289.984499999999</v>
      </c>
      <c r="H437" s="783">
        <f t="shared" si="820"/>
        <v>10380.399999999998</v>
      </c>
      <c r="I437" s="783">
        <f t="shared" si="820"/>
        <v>7330.3994678571435</v>
      </c>
      <c r="J437" s="783">
        <f t="shared" si="820"/>
        <v>14838.162066000001</v>
      </c>
      <c r="K437" s="776">
        <f t="shared" si="811"/>
        <v>1180762.7292588572</v>
      </c>
      <c r="L437" s="776">
        <f t="shared" si="812"/>
        <v>177114.40938882859</v>
      </c>
      <c r="M437" s="776">
        <f t="shared" si="813"/>
        <v>1357877.1386476858</v>
      </c>
      <c r="N437" s="776">
        <f t="shared" si="814"/>
        <v>1173432.3297910001</v>
      </c>
      <c r="O437" s="776">
        <f t="shared" si="815"/>
        <v>176014.84946865001</v>
      </c>
      <c r="P437" s="776">
        <f t="shared" si="816"/>
        <v>1349447.1792596502</v>
      </c>
      <c r="Q437" s="783">
        <f t="shared" si="819"/>
        <v>35200.07488461538</v>
      </c>
    </row>
    <row r="438" spans="1:17" s="769" customFormat="1" ht="28">
      <c r="A438" s="771">
        <v>23</v>
      </c>
      <c r="B438" s="808" t="s">
        <v>276</v>
      </c>
      <c r="C438" s="804" t="s">
        <v>51</v>
      </c>
      <c r="D438" s="801" t="s">
        <v>31</v>
      </c>
      <c r="E438" s="783"/>
      <c r="F438" s="783"/>
      <c r="G438" s="783"/>
      <c r="H438" s="783"/>
      <c r="I438" s="783"/>
      <c r="J438" s="783"/>
      <c r="K438" s="776"/>
      <c r="L438" s="776"/>
      <c r="M438" s="776"/>
      <c r="N438" s="776"/>
      <c r="O438" s="776"/>
      <c r="P438" s="776"/>
      <c r="Q438" s="783"/>
    </row>
    <row r="439" spans="1:17" s="769" customFormat="1">
      <c r="A439" s="771">
        <v>23.1</v>
      </c>
      <c r="B439" s="808" t="s">
        <v>771</v>
      </c>
      <c r="C439" s="804" t="s">
        <v>51</v>
      </c>
      <c r="D439" s="801" t="s">
        <v>31</v>
      </c>
      <c r="E439" s="783"/>
      <c r="F439" s="783"/>
      <c r="G439" s="783"/>
      <c r="H439" s="783"/>
      <c r="I439" s="783"/>
      <c r="J439" s="783"/>
      <c r="K439" s="776"/>
      <c r="L439" s="776"/>
      <c r="M439" s="776"/>
      <c r="N439" s="776"/>
      <c r="O439" s="776"/>
      <c r="P439" s="776"/>
      <c r="Q439" s="783"/>
    </row>
    <row r="440" spans="1:17" s="769" customFormat="1">
      <c r="A440" s="809" t="s">
        <v>767</v>
      </c>
      <c r="B440" s="810" t="s">
        <v>768</v>
      </c>
      <c r="C440" s="804" t="s">
        <v>51</v>
      </c>
      <c r="D440" s="801" t="s">
        <v>31</v>
      </c>
      <c r="E440" s="783">
        <f>NCong!M533</f>
        <v>742077.26009999984</v>
      </c>
      <c r="F440" s="783"/>
      <c r="G440" s="783">
        <f>G431</f>
        <v>15756.390384615384</v>
      </c>
      <c r="H440" s="783">
        <f t="shared" ref="H440:J440" si="821">H431</f>
        <v>31754</v>
      </c>
      <c r="I440" s="783">
        <f t="shared" si="821"/>
        <v>9397.9480357142857</v>
      </c>
      <c r="J440" s="783">
        <f t="shared" si="821"/>
        <v>19023.2847</v>
      </c>
      <c r="K440" s="776">
        <f t="shared" ref="K440:K446" si="822">SUM(E440:J440)</f>
        <v>818008.88322032953</v>
      </c>
      <c r="L440" s="776">
        <f t="shared" ref="L440:L446" si="823">K440*15%</f>
        <v>122701.33248304942</v>
      </c>
      <c r="M440" s="776">
        <f t="shared" ref="M440:M446" si="824">K440+L440</f>
        <v>940710.2157033789</v>
      </c>
      <c r="N440" s="776">
        <f t="shared" ref="N440:N446" si="825">K440-I440</f>
        <v>808610.9351846152</v>
      </c>
      <c r="O440" s="776">
        <f t="shared" ref="O440:O446" si="826">$L$6*N440</f>
        <v>121291.64027769228</v>
      </c>
      <c r="P440" s="776">
        <f t="shared" ref="P440:P446" si="827">N440+O440</f>
        <v>929902.57546230743</v>
      </c>
      <c r="Q440" s="783">
        <f>NCong!P533</f>
        <v>22940.327384615382</v>
      </c>
    </row>
    <row r="441" spans="1:17" s="769" customFormat="1">
      <c r="A441" s="809" t="s">
        <v>767</v>
      </c>
      <c r="B441" s="810" t="s">
        <v>769</v>
      </c>
      <c r="C441" s="804" t="s">
        <v>51</v>
      </c>
      <c r="D441" s="801" t="s">
        <v>31</v>
      </c>
      <c r="E441" s="783">
        <f>NCong!N533</f>
        <v>919170.02429999982</v>
      </c>
      <c r="F441" s="783"/>
      <c r="G441" s="783">
        <f t="shared" ref="G441:J441" si="828">G432</f>
        <v>15756.390384615384</v>
      </c>
      <c r="H441" s="783">
        <f t="shared" si="828"/>
        <v>31754</v>
      </c>
      <c r="I441" s="783">
        <f t="shared" si="828"/>
        <v>9397.9480357142857</v>
      </c>
      <c r="J441" s="783">
        <f t="shared" si="828"/>
        <v>19023.2847</v>
      </c>
      <c r="K441" s="776">
        <f t="shared" si="822"/>
        <v>995101.64742032951</v>
      </c>
      <c r="L441" s="776">
        <f t="shared" si="823"/>
        <v>149265.24711304941</v>
      </c>
      <c r="M441" s="776">
        <f t="shared" si="824"/>
        <v>1144366.894533379</v>
      </c>
      <c r="N441" s="776">
        <f t="shared" si="825"/>
        <v>985703.69938461517</v>
      </c>
      <c r="O441" s="776">
        <f t="shared" si="826"/>
        <v>147855.55490769228</v>
      </c>
      <c r="P441" s="776">
        <f t="shared" si="827"/>
        <v>1133559.2542923074</v>
      </c>
      <c r="Q441" s="783">
        <f>NCong!Q533</f>
        <v>28519.639076923071</v>
      </c>
    </row>
    <row r="442" spans="1:17" s="769" customFormat="1">
      <c r="A442" s="809" t="s">
        <v>767</v>
      </c>
      <c r="B442" s="810" t="s">
        <v>770</v>
      </c>
      <c r="C442" s="804" t="s">
        <v>51</v>
      </c>
      <c r="D442" s="801" t="s">
        <v>31</v>
      </c>
      <c r="E442" s="783">
        <f>NCong!O533</f>
        <v>1146258.2323500002</v>
      </c>
      <c r="F442" s="783"/>
      <c r="G442" s="783">
        <f t="shared" ref="G442:J442" si="829">G433</f>
        <v>20483.307499999999</v>
      </c>
      <c r="H442" s="783">
        <f t="shared" si="829"/>
        <v>31754</v>
      </c>
      <c r="I442" s="783">
        <f t="shared" si="829"/>
        <v>12217.332446428572</v>
      </c>
      <c r="J442" s="783">
        <f t="shared" si="829"/>
        <v>24730.270110000001</v>
      </c>
      <c r="K442" s="776">
        <f t="shared" si="822"/>
        <v>1235443.1424064287</v>
      </c>
      <c r="L442" s="776">
        <f t="shared" si="823"/>
        <v>185316.47136096429</v>
      </c>
      <c r="M442" s="776">
        <f t="shared" si="824"/>
        <v>1420759.6137673929</v>
      </c>
      <c r="N442" s="776">
        <f t="shared" si="825"/>
        <v>1223225.8099600002</v>
      </c>
      <c r="O442" s="776">
        <f t="shared" si="826"/>
        <v>183483.87149400002</v>
      </c>
      <c r="P442" s="776">
        <f t="shared" si="827"/>
        <v>1406709.6814540003</v>
      </c>
      <c r="Q442" s="783">
        <f>NCong!R533</f>
        <v>35479.007384615375</v>
      </c>
    </row>
    <row r="443" spans="1:17" s="769" customFormat="1">
      <c r="A443" s="771">
        <v>23.2</v>
      </c>
      <c r="B443" s="808" t="s">
        <v>772</v>
      </c>
      <c r="C443" s="804" t="s">
        <v>51</v>
      </c>
      <c r="D443" s="801" t="s">
        <v>31</v>
      </c>
      <c r="E443" s="783"/>
      <c r="F443" s="783"/>
      <c r="G443" s="783"/>
      <c r="H443" s="783"/>
      <c r="I443" s="783"/>
      <c r="J443" s="783"/>
      <c r="K443" s="776"/>
      <c r="L443" s="776"/>
      <c r="M443" s="776"/>
      <c r="N443" s="776"/>
      <c r="O443" s="776"/>
      <c r="P443" s="776"/>
      <c r="Q443" s="783"/>
    </row>
    <row r="444" spans="1:17" s="769" customFormat="1">
      <c r="A444" s="809" t="s">
        <v>767</v>
      </c>
      <c r="B444" s="810" t="s">
        <v>768</v>
      </c>
      <c r="C444" s="804" t="s">
        <v>51</v>
      </c>
      <c r="D444" s="801" t="s">
        <v>31</v>
      </c>
      <c r="E444" s="783">
        <f>E440</f>
        <v>742077.26009999984</v>
      </c>
      <c r="F444" s="783"/>
      <c r="G444" s="783">
        <f t="shared" ref="G444:J444" si="830">G435</f>
        <v>9453.834230769231</v>
      </c>
      <c r="H444" s="783">
        <f t="shared" si="830"/>
        <v>10380.399999999998</v>
      </c>
      <c r="I444" s="783">
        <f t="shared" si="830"/>
        <v>5638.7688214285708</v>
      </c>
      <c r="J444" s="783">
        <f t="shared" si="830"/>
        <v>11413.97082</v>
      </c>
      <c r="K444" s="776">
        <f t="shared" si="822"/>
        <v>778964.23397219763</v>
      </c>
      <c r="L444" s="776">
        <f t="shared" si="823"/>
        <v>116844.63509582964</v>
      </c>
      <c r="M444" s="776">
        <f t="shared" si="824"/>
        <v>895808.86906802724</v>
      </c>
      <c r="N444" s="776">
        <f t="shared" si="825"/>
        <v>773325.4651507691</v>
      </c>
      <c r="O444" s="776">
        <f t="shared" si="826"/>
        <v>115998.81977261536</v>
      </c>
      <c r="P444" s="776">
        <f t="shared" si="827"/>
        <v>889324.28492338443</v>
      </c>
      <c r="Q444" s="783">
        <f>Q440</f>
        <v>22940.327384615382</v>
      </c>
    </row>
    <row r="445" spans="1:17" s="769" customFormat="1">
      <c r="A445" s="809" t="s">
        <v>767</v>
      </c>
      <c r="B445" s="810" t="s">
        <v>769</v>
      </c>
      <c r="C445" s="804" t="s">
        <v>51</v>
      </c>
      <c r="D445" s="801" t="s">
        <v>31</v>
      </c>
      <c r="E445" s="783">
        <f t="shared" ref="E445:E446" si="831">E441</f>
        <v>919170.02429999982</v>
      </c>
      <c r="F445" s="783"/>
      <c r="G445" s="783">
        <f t="shared" ref="G445:J445" si="832">G436</f>
        <v>9453.834230769231</v>
      </c>
      <c r="H445" s="783">
        <f t="shared" si="832"/>
        <v>10380.399999999998</v>
      </c>
      <c r="I445" s="783">
        <f t="shared" si="832"/>
        <v>5638.7688214285708</v>
      </c>
      <c r="J445" s="783">
        <f t="shared" si="832"/>
        <v>11413.97082</v>
      </c>
      <c r="K445" s="776">
        <f t="shared" si="822"/>
        <v>956056.99817219761</v>
      </c>
      <c r="L445" s="776">
        <f t="shared" si="823"/>
        <v>143408.54972582962</v>
      </c>
      <c r="M445" s="776">
        <f t="shared" si="824"/>
        <v>1099465.5478980271</v>
      </c>
      <c r="N445" s="776">
        <f t="shared" si="825"/>
        <v>950418.22935076908</v>
      </c>
      <c r="O445" s="776">
        <f t="shared" si="826"/>
        <v>142562.73440261534</v>
      </c>
      <c r="P445" s="776">
        <f t="shared" si="827"/>
        <v>1092980.9637533845</v>
      </c>
      <c r="Q445" s="783">
        <f t="shared" ref="Q445:Q446" si="833">Q441</f>
        <v>28519.639076923071</v>
      </c>
    </row>
    <row r="446" spans="1:17" s="769" customFormat="1">
      <c r="A446" s="809" t="s">
        <v>767</v>
      </c>
      <c r="B446" s="810" t="s">
        <v>770</v>
      </c>
      <c r="C446" s="804" t="s">
        <v>51</v>
      </c>
      <c r="D446" s="801" t="s">
        <v>31</v>
      </c>
      <c r="E446" s="783">
        <f t="shared" si="831"/>
        <v>1146258.2323500002</v>
      </c>
      <c r="F446" s="783"/>
      <c r="G446" s="783">
        <f t="shared" ref="G446:J446" si="834">G437</f>
        <v>12289.984499999999</v>
      </c>
      <c r="H446" s="783">
        <f t="shared" si="834"/>
        <v>10380.399999999998</v>
      </c>
      <c r="I446" s="783">
        <f t="shared" si="834"/>
        <v>7330.3994678571435</v>
      </c>
      <c r="J446" s="783">
        <f t="shared" si="834"/>
        <v>14838.162066000001</v>
      </c>
      <c r="K446" s="776">
        <f t="shared" si="822"/>
        <v>1191097.1783838572</v>
      </c>
      <c r="L446" s="776">
        <f t="shared" si="823"/>
        <v>178664.57675757859</v>
      </c>
      <c r="M446" s="776">
        <f t="shared" si="824"/>
        <v>1369761.7551414359</v>
      </c>
      <c r="N446" s="776">
        <f t="shared" si="825"/>
        <v>1183766.7789160002</v>
      </c>
      <c r="O446" s="776">
        <f t="shared" si="826"/>
        <v>177565.01683740001</v>
      </c>
      <c r="P446" s="776">
        <f t="shared" si="827"/>
        <v>1361331.7957534001</v>
      </c>
      <c r="Q446" s="783">
        <f t="shared" si="833"/>
        <v>35479.007384615375</v>
      </c>
    </row>
    <row r="447" spans="1:17" s="769" customFormat="1" ht="14">
      <c r="A447" s="771">
        <v>24</v>
      </c>
      <c r="B447" s="808" t="s">
        <v>278</v>
      </c>
      <c r="C447" s="804" t="s">
        <v>51</v>
      </c>
      <c r="D447" s="801" t="s">
        <v>31</v>
      </c>
      <c r="E447" s="783"/>
      <c r="F447" s="783"/>
      <c r="G447" s="783"/>
      <c r="H447" s="783"/>
      <c r="I447" s="783"/>
      <c r="J447" s="783"/>
      <c r="K447" s="776"/>
      <c r="L447" s="776"/>
      <c r="M447" s="776"/>
      <c r="N447" s="776"/>
      <c r="O447" s="776"/>
      <c r="P447" s="776"/>
      <c r="Q447" s="783"/>
    </row>
    <row r="448" spans="1:17" s="769" customFormat="1">
      <c r="A448" s="771">
        <v>24.1</v>
      </c>
      <c r="B448" s="808" t="s">
        <v>771</v>
      </c>
      <c r="C448" s="804" t="s">
        <v>51</v>
      </c>
      <c r="D448" s="801" t="s">
        <v>31</v>
      </c>
      <c r="E448" s="783"/>
      <c r="F448" s="783"/>
      <c r="G448" s="783"/>
      <c r="H448" s="783"/>
      <c r="I448" s="783"/>
      <c r="J448" s="783"/>
      <c r="K448" s="776"/>
      <c r="L448" s="776"/>
      <c r="M448" s="776"/>
      <c r="N448" s="776"/>
      <c r="O448" s="776"/>
      <c r="P448" s="776"/>
      <c r="Q448" s="783"/>
    </row>
    <row r="449" spans="1:17" s="769" customFormat="1">
      <c r="A449" s="809" t="s">
        <v>767</v>
      </c>
      <c r="B449" s="810" t="s">
        <v>768</v>
      </c>
      <c r="C449" s="804" t="s">
        <v>51</v>
      </c>
      <c r="D449" s="801" t="s">
        <v>31</v>
      </c>
      <c r="E449" s="783">
        <f>NCong!M534</f>
        <v>758638.33649999986</v>
      </c>
      <c r="F449" s="783"/>
      <c r="G449" s="783">
        <f>G440</f>
        <v>15756.390384615384</v>
      </c>
      <c r="H449" s="783">
        <f t="shared" ref="H449:J449" si="835">H440</f>
        <v>31754</v>
      </c>
      <c r="I449" s="783">
        <f t="shared" si="835"/>
        <v>9397.9480357142857</v>
      </c>
      <c r="J449" s="783">
        <f t="shared" si="835"/>
        <v>19023.2847</v>
      </c>
      <c r="K449" s="776">
        <f t="shared" ref="K449:K451" si="836">SUM(E449:J449)</f>
        <v>834569.95962032955</v>
      </c>
      <c r="L449" s="776">
        <f t="shared" ref="L449:L451" si="837">K449*15%</f>
        <v>125185.49394304943</v>
      </c>
      <c r="M449" s="776">
        <f t="shared" ref="M449:M451" si="838">K449+L449</f>
        <v>959755.45356337901</v>
      </c>
      <c r="N449" s="776">
        <f t="shared" ref="N449:N451" si="839">K449-I449</f>
        <v>825172.01158461522</v>
      </c>
      <c r="O449" s="776">
        <f t="shared" ref="O449:O451" si="840">$L$6*N449</f>
        <v>123775.80173769228</v>
      </c>
      <c r="P449" s="776">
        <f t="shared" ref="P449:P451" si="841">N449+O449</f>
        <v>948947.81332230754</v>
      </c>
      <c r="Q449" s="783">
        <f>NCong!P534</f>
        <v>23387.319999999996</v>
      </c>
    </row>
    <row r="450" spans="1:17" s="769" customFormat="1">
      <c r="A450" s="809" t="s">
        <v>767</v>
      </c>
      <c r="B450" s="810" t="s">
        <v>769</v>
      </c>
      <c r="C450" s="804" t="s">
        <v>51</v>
      </c>
      <c r="D450" s="801" t="s">
        <v>31</v>
      </c>
      <c r="E450" s="783">
        <f>NCong!N534</f>
        <v>942035.60137499985</v>
      </c>
      <c r="F450" s="783"/>
      <c r="G450" s="783">
        <f t="shared" ref="G450:J455" si="842">G441</f>
        <v>15756.390384615384</v>
      </c>
      <c r="H450" s="783">
        <f t="shared" si="842"/>
        <v>31754</v>
      </c>
      <c r="I450" s="783">
        <f t="shared" si="842"/>
        <v>9397.9480357142857</v>
      </c>
      <c r="J450" s="783">
        <f t="shared" si="842"/>
        <v>19023.2847</v>
      </c>
      <c r="K450" s="776">
        <f t="shared" si="836"/>
        <v>1017967.2244953295</v>
      </c>
      <c r="L450" s="776">
        <f t="shared" si="837"/>
        <v>152695.08367429941</v>
      </c>
      <c r="M450" s="776">
        <f t="shared" si="838"/>
        <v>1170662.308169629</v>
      </c>
      <c r="N450" s="776">
        <f t="shared" si="839"/>
        <v>1008569.2764596152</v>
      </c>
      <c r="O450" s="776">
        <f t="shared" si="840"/>
        <v>151285.39146894228</v>
      </c>
      <c r="P450" s="776">
        <f t="shared" si="841"/>
        <v>1159854.6679285574</v>
      </c>
      <c r="Q450" s="783">
        <f>NCong!Q534</f>
        <v>29136.793653846151</v>
      </c>
    </row>
    <row r="451" spans="1:17" s="769" customFormat="1">
      <c r="A451" s="809" t="s">
        <v>767</v>
      </c>
      <c r="B451" s="810" t="s">
        <v>770</v>
      </c>
      <c r="C451" s="804" t="s">
        <v>51</v>
      </c>
      <c r="D451" s="801" t="s">
        <v>31</v>
      </c>
      <c r="E451" s="783">
        <f>NCong!O534</f>
        <v>1187755.0203750001</v>
      </c>
      <c r="F451" s="783"/>
      <c r="G451" s="783">
        <f t="shared" si="842"/>
        <v>20483.307499999999</v>
      </c>
      <c r="H451" s="783">
        <f t="shared" si="842"/>
        <v>31754</v>
      </c>
      <c r="I451" s="783">
        <f t="shared" si="842"/>
        <v>12217.332446428572</v>
      </c>
      <c r="J451" s="783">
        <f t="shared" si="842"/>
        <v>24730.270110000001</v>
      </c>
      <c r="K451" s="776">
        <f t="shared" si="836"/>
        <v>1276939.9304314286</v>
      </c>
      <c r="L451" s="776">
        <f t="shared" si="837"/>
        <v>191540.98956471428</v>
      </c>
      <c r="M451" s="776">
        <f t="shared" si="838"/>
        <v>1468480.9199961429</v>
      </c>
      <c r="N451" s="776">
        <f t="shared" si="839"/>
        <v>1264722.5979850001</v>
      </c>
      <c r="O451" s="776">
        <f t="shared" si="840"/>
        <v>189708.38969775001</v>
      </c>
      <c r="P451" s="776">
        <f t="shared" si="841"/>
        <v>1454430.9876827502</v>
      </c>
      <c r="Q451" s="783">
        <f>NCong!R534</f>
        <v>36599.028653846144</v>
      </c>
    </row>
    <row r="452" spans="1:17" s="769" customFormat="1">
      <c r="A452" s="771">
        <v>24.2</v>
      </c>
      <c r="B452" s="808" t="s">
        <v>772</v>
      </c>
      <c r="C452" s="804" t="s">
        <v>51</v>
      </c>
      <c r="D452" s="801" t="s">
        <v>31</v>
      </c>
      <c r="E452" s="783"/>
      <c r="F452" s="783"/>
      <c r="G452" s="783"/>
      <c r="H452" s="783"/>
      <c r="I452" s="783"/>
      <c r="J452" s="783"/>
      <c r="K452" s="776"/>
      <c r="L452" s="776"/>
      <c r="M452" s="776"/>
      <c r="N452" s="776"/>
      <c r="O452" s="776"/>
      <c r="P452" s="776"/>
      <c r="Q452" s="783"/>
    </row>
    <row r="453" spans="1:17" s="769" customFormat="1">
      <c r="A453" s="809" t="s">
        <v>767</v>
      </c>
      <c r="B453" s="810" t="s">
        <v>768</v>
      </c>
      <c r="C453" s="804" t="s">
        <v>51</v>
      </c>
      <c r="D453" s="801" t="s">
        <v>31</v>
      </c>
      <c r="E453" s="783">
        <f>E449</f>
        <v>758638.33649999986</v>
      </c>
      <c r="F453" s="783"/>
      <c r="G453" s="783">
        <f t="shared" si="842"/>
        <v>9453.834230769231</v>
      </c>
      <c r="H453" s="783">
        <f t="shared" ref="H453:J453" si="843">H444</f>
        <v>10380.399999999998</v>
      </c>
      <c r="I453" s="783">
        <f t="shared" si="843"/>
        <v>5638.7688214285708</v>
      </c>
      <c r="J453" s="783">
        <f t="shared" si="843"/>
        <v>11413.97082</v>
      </c>
      <c r="K453" s="776">
        <f t="shared" ref="K453:K455" si="844">SUM(E453:J453)</f>
        <v>795525.31037219765</v>
      </c>
      <c r="L453" s="776">
        <f t="shared" ref="L453:L455" si="845">K453*15%</f>
        <v>119328.79655582964</v>
      </c>
      <c r="M453" s="776">
        <f t="shared" ref="M453:M455" si="846">K453+L453</f>
        <v>914854.10692802723</v>
      </c>
      <c r="N453" s="776">
        <f t="shared" ref="N453:N455" si="847">K453-I453</f>
        <v>789886.54155076912</v>
      </c>
      <c r="O453" s="776">
        <f t="shared" ref="O453:O455" si="848">$L$6*N453</f>
        <v>118482.98123261536</v>
      </c>
      <c r="P453" s="776">
        <f t="shared" ref="P453:P455" si="849">N453+O453</f>
        <v>908369.52278338443</v>
      </c>
      <c r="Q453" s="783">
        <f>Q449</f>
        <v>23387.319999999996</v>
      </c>
    </row>
    <row r="454" spans="1:17" s="769" customFormat="1">
      <c r="A454" s="809" t="s">
        <v>767</v>
      </c>
      <c r="B454" s="810" t="s">
        <v>769</v>
      </c>
      <c r="C454" s="804" t="s">
        <v>51</v>
      </c>
      <c r="D454" s="801" t="s">
        <v>31</v>
      </c>
      <c r="E454" s="783">
        <f t="shared" ref="E454:E455" si="850">E450</f>
        <v>942035.60137499985</v>
      </c>
      <c r="F454" s="783"/>
      <c r="G454" s="783">
        <f t="shared" si="842"/>
        <v>9453.834230769231</v>
      </c>
      <c r="H454" s="783">
        <f t="shared" ref="H454:J454" si="851">H445</f>
        <v>10380.399999999998</v>
      </c>
      <c r="I454" s="783">
        <f t="shared" si="851"/>
        <v>5638.7688214285708</v>
      </c>
      <c r="J454" s="783">
        <f t="shared" si="851"/>
        <v>11413.97082</v>
      </c>
      <c r="K454" s="776">
        <f t="shared" si="844"/>
        <v>978922.57524719764</v>
      </c>
      <c r="L454" s="776">
        <f t="shared" si="845"/>
        <v>146838.38628707963</v>
      </c>
      <c r="M454" s="776">
        <f t="shared" si="846"/>
        <v>1125760.9615342773</v>
      </c>
      <c r="N454" s="776">
        <f t="shared" si="847"/>
        <v>973283.80642576911</v>
      </c>
      <c r="O454" s="776">
        <f t="shared" si="848"/>
        <v>145992.57096386535</v>
      </c>
      <c r="P454" s="776">
        <f t="shared" si="849"/>
        <v>1119276.3773896345</v>
      </c>
      <c r="Q454" s="783">
        <f t="shared" ref="Q454:Q455" si="852">Q450</f>
        <v>29136.793653846151</v>
      </c>
    </row>
    <row r="455" spans="1:17" s="769" customFormat="1">
      <c r="A455" s="809" t="s">
        <v>767</v>
      </c>
      <c r="B455" s="810" t="s">
        <v>770</v>
      </c>
      <c r="C455" s="804" t="s">
        <v>51</v>
      </c>
      <c r="D455" s="801" t="s">
        <v>31</v>
      </c>
      <c r="E455" s="783">
        <f t="shared" si="850"/>
        <v>1187755.0203750001</v>
      </c>
      <c r="F455" s="783"/>
      <c r="G455" s="783">
        <f t="shared" si="842"/>
        <v>12289.984499999999</v>
      </c>
      <c r="H455" s="783">
        <f t="shared" ref="H455:J455" si="853">H446</f>
        <v>10380.399999999998</v>
      </c>
      <c r="I455" s="783">
        <f t="shared" si="853"/>
        <v>7330.3994678571435</v>
      </c>
      <c r="J455" s="783">
        <f t="shared" si="853"/>
        <v>14838.162066000001</v>
      </c>
      <c r="K455" s="776">
        <f t="shared" si="844"/>
        <v>1232593.9664088571</v>
      </c>
      <c r="L455" s="776">
        <f t="shared" si="845"/>
        <v>184889.09496132858</v>
      </c>
      <c r="M455" s="776">
        <f t="shared" si="846"/>
        <v>1417483.0613701858</v>
      </c>
      <c r="N455" s="776">
        <f t="shared" si="847"/>
        <v>1225263.5669410001</v>
      </c>
      <c r="O455" s="776">
        <f t="shared" si="848"/>
        <v>183789.53504115</v>
      </c>
      <c r="P455" s="776">
        <f t="shared" si="849"/>
        <v>1409053.10198215</v>
      </c>
      <c r="Q455" s="783">
        <f t="shared" si="852"/>
        <v>36599.028653846144</v>
      </c>
    </row>
    <row r="456" spans="1:17" s="769" customFormat="1" ht="14">
      <c r="A456" s="771">
        <v>25</v>
      </c>
      <c r="B456" s="808" t="s">
        <v>280</v>
      </c>
      <c r="C456" s="804" t="s">
        <v>51</v>
      </c>
      <c r="D456" s="801" t="s">
        <v>31</v>
      </c>
      <c r="E456" s="783"/>
      <c r="F456" s="783"/>
      <c r="G456" s="783"/>
      <c r="H456" s="783"/>
      <c r="I456" s="783"/>
      <c r="J456" s="783"/>
      <c r="K456" s="776"/>
      <c r="L456" s="776"/>
      <c r="M456" s="776"/>
      <c r="N456" s="776"/>
      <c r="O456" s="776"/>
      <c r="P456" s="776"/>
      <c r="Q456" s="783"/>
    </row>
    <row r="457" spans="1:17" s="769" customFormat="1">
      <c r="A457" s="771">
        <v>25.1</v>
      </c>
      <c r="B457" s="808" t="s">
        <v>771</v>
      </c>
      <c r="C457" s="804" t="s">
        <v>51</v>
      </c>
      <c r="D457" s="801" t="s">
        <v>31</v>
      </c>
      <c r="E457" s="783"/>
      <c r="F457" s="783"/>
      <c r="G457" s="783"/>
      <c r="H457" s="783"/>
      <c r="I457" s="783"/>
      <c r="J457" s="783"/>
      <c r="K457" s="776"/>
      <c r="L457" s="776"/>
      <c r="M457" s="776"/>
      <c r="N457" s="776"/>
      <c r="O457" s="776"/>
      <c r="P457" s="776"/>
      <c r="Q457" s="783"/>
    </row>
    <row r="458" spans="1:17" s="769" customFormat="1">
      <c r="A458" s="809" t="s">
        <v>767</v>
      </c>
      <c r="B458" s="810" t="s">
        <v>768</v>
      </c>
      <c r="C458" s="804" t="s">
        <v>51</v>
      </c>
      <c r="D458" s="801" t="s">
        <v>31</v>
      </c>
      <c r="E458" s="783">
        <f>NCong!M535</f>
        <v>742775.23649999988</v>
      </c>
      <c r="F458" s="783"/>
      <c r="G458" s="783">
        <f>G449</f>
        <v>15756.390384615384</v>
      </c>
      <c r="H458" s="783">
        <f t="shared" ref="H458:J458" si="854">H449</f>
        <v>31754</v>
      </c>
      <c r="I458" s="783">
        <f t="shared" si="854"/>
        <v>9397.9480357142857</v>
      </c>
      <c r="J458" s="783">
        <f t="shared" si="854"/>
        <v>19023.2847</v>
      </c>
      <c r="K458" s="776">
        <f t="shared" ref="K458:K460" si="855">SUM(E458:J458)</f>
        <v>818706.85962032957</v>
      </c>
      <c r="L458" s="776">
        <f t="shared" ref="L458:L460" si="856">K458*15%</f>
        <v>122806.02894304943</v>
      </c>
      <c r="M458" s="776">
        <f t="shared" ref="M458:M460" si="857">K458+L458</f>
        <v>941512.88856337895</v>
      </c>
      <c r="N458" s="776">
        <f t="shared" ref="N458:N460" si="858">K458-I458</f>
        <v>809308.91158461524</v>
      </c>
      <c r="O458" s="776">
        <f t="shared" ref="O458:O460" si="859">$L$6*N458</f>
        <v>121396.33673769228</v>
      </c>
      <c r="P458" s="776">
        <f t="shared" ref="P458:P460" si="860">N458+O458</f>
        <v>930705.24832230748</v>
      </c>
      <c r="Q458" s="783">
        <f>NCong!P535</f>
        <v>22959.166153846152</v>
      </c>
    </row>
    <row r="459" spans="1:17" s="769" customFormat="1">
      <c r="A459" s="809" t="s">
        <v>767</v>
      </c>
      <c r="B459" s="810" t="s">
        <v>769</v>
      </c>
      <c r="C459" s="804" t="s">
        <v>51</v>
      </c>
      <c r="D459" s="801" t="s">
        <v>31</v>
      </c>
      <c r="E459" s="783">
        <f>NCong!N535</f>
        <v>920133.70762499981</v>
      </c>
      <c r="F459" s="783"/>
      <c r="G459" s="783">
        <f t="shared" ref="G459:J459" si="861">G450</f>
        <v>15756.390384615384</v>
      </c>
      <c r="H459" s="783">
        <f t="shared" si="861"/>
        <v>31754</v>
      </c>
      <c r="I459" s="783">
        <f t="shared" si="861"/>
        <v>9397.9480357142857</v>
      </c>
      <c r="J459" s="783">
        <f t="shared" si="861"/>
        <v>19023.2847</v>
      </c>
      <c r="K459" s="776">
        <f t="shared" si="855"/>
        <v>996065.3307453295</v>
      </c>
      <c r="L459" s="776">
        <f t="shared" si="856"/>
        <v>149409.79961179942</v>
      </c>
      <c r="M459" s="776">
        <f t="shared" si="857"/>
        <v>1145475.130357129</v>
      </c>
      <c r="N459" s="776">
        <f t="shared" si="858"/>
        <v>986667.38270961517</v>
      </c>
      <c r="O459" s="776">
        <f t="shared" si="859"/>
        <v>148000.10740644226</v>
      </c>
      <c r="P459" s="776">
        <f t="shared" si="860"/>
        <v>1134667.4901160575</v>
      </c>
      <c r="Q459" s="783">
        <f>NCong!Q535</f>
        <v>28545.64942307692</v>
      </c>
    </row>
    <row r="460" spans="1:17" s="769" customFormat="1">
      <c r="A460" s="809" t="s">
        <v>767</v>
      </c>
      <c r="B460" s="810" t="s">
        <v>770</v>
      </c>
      <c r="C460" s="804" t="s">
        <v>51</v>
      </c>
      <c r="D460" s="801" t="s">
        <v>31</v>
      </c>
      <c r="E460" s="783">
        <f>NCong!O535</f>
        <v>1148007.139125</v>
      </c>
      <c r="F460" s="783"/>
      <c r="G460" s="783">
        <f t="shared" ref="G460:J460" si="862">G451</f>
        <v>20483.307499999999</v>
      </c>
      <c r="H460" s="783">
        <f t="shared" si="862"/>
        <v>31754</v>
      </c>
      <c r="I460" s="783">
        <f t="shared" si="862"/>
        <v>12217.332446428572</v>
      </c>
      <c r="J460" s="783">
        <f t="shared" si="862"/>
        <v>24730.270110000001</v>
      </c>
      <c r="K460" s="776">
        <f t="shared" si="855"/>
        <v>1237192.0491814285</v>
      </c>
      <c r="L460" s="776">
        <f t="shared" si="856"/>
        <v>185578.80737721428</v>
      </c>
      <c r="M460" s="776">
        <f t="shared" si="857"/>
        <v>1422770.8565586428</v>
      </c>
      <c r="N460" s="776">
        <f t="shared" si="858"/>
        <v>1224974.716735</v>
      </c>
      <c r="O460" s="776">
        <f t="shared" si="859"/>
        <v>183746.20751025001</v>
      </c>
      <c r="P460" s="776">
        <f t="shared" si="860"/>
        <v>1408720.9242452499</v>
      </c>
      <c r="Q460" s="783">
        <f>NCong!R535</f>
        <v>35526.211346153839</v>
      </c>
    </row>
    <row r="461" spans="1:17" s="769" customFormat="1">
      <c r="A461" s="771">
        <v>25.2</v>
      </c>
      <c r="B461" s="808" t="s">
        <v>772</v>
      </c>
      <c r="C461" s="804" t="s">
        <v>51</v>
      </c>
      <c r="D461" s="801" t="s">
        <v>31</v>
      </c>
      <c r="E461" s="783"/>
      <c r="F461" s="783"/>
      <c r="G461" s="783"/>
      <c r="H461" s="783"/>
      <c r="I461" s="783"/>
      <c r="J461" s="783"/>
      <c r="K461" s="776"/>
      <c r="L461" s="776"/>
      <c r="M461" s="776"/>
      <c r="N461" s="776"/>
      <c r="O461" s="776"/>
      <c r="P461" s="776"/>
      <c r="Q461" s="783"/>
    </row>
    <row r="462" spans="1:17" s="769" customFormat="1">
      <c r="A462" s="809" t="s">
        <v>767</v>
      </c>
      <c r="B462" s="810" t="s">
        <v>768</v>
      </c>
      <c r="C462" s="804" t="s">
        <v>51</v>
      </c>
      <c r="D462" s="801" t="s">
        <v>31</v>
      </c>
      <c r="E462" s="783">
        <f>E458</f>
        <v>742775.23649999988</v>
      </c>
      <c r="F462" s="783"/>
      <c r="G462" s="783">
        <f t="shared" ref="G462:J462" si="863">G453</f>
        <v>9453.834230769231</v>
      </c>
      <c r="H462" s="783">
        <f t="shared" si="863"/>
        <v>10380.399999999998</v>
      </c>
      <c r="I462" s="783">
        <f t="shared" si="863"/>
        <v>5638.7688214285708</v>
      </c>
      <c r="J462" s="783">
        <f t="shared" si="863"/>
        <v>11413.97082</v>
      </c>
      <c r="K462" s="776">
        <f t="shared" ref="K462:K464" si="864">SUM(E462:J462)</f>
        <v>779662.21037219767</v>
      </c>
      <c r="L462" s="776">
        <f t="shared" ref="L462:L464" si="865">K462*15%</f>
        <v>116949.33155582965</v>
      </c>
      <c r="M462" s="776">
        <f t="shared" ref="M462:M464" si="866">K462+L462</f>
        <v>896611.54192802729</v>
      </c>
      <c r="N462" s="776">
        <f t="shared" ref="N462:N464" si="867">K462-I462</f>
        <v>774023.44155076914</v>
      </c>
      <c r="O462" s="776">
        <f t="shared" ref="O462:O464" si="868">$L$6*N462</f>
        <v>116103.51623261537</v>
      </c>
      <c r="P462" s="776">
        <f t="shared" ref="P462:P464" si="869">N462+O462</f>
        <v>890126.95778338448</v>
      </c>
      <c r="Q462" s="783">
        <f>Q458</f>
        <v>22959.166153846152</v>
      </c>
    </row>
    <row r="463" spans="1:17" s="769" customFormat="1">
      <c r="A463" s="809" t="s">
        <v>767</v>
      </c>
      <c r="B463" s="810" t="s">
        <v>769</v>
      </c>
      <c r="C463" s="804" t="s">
        <v>51</v>
      </c>
      <c r="D463" s="801" t="s">
        <v>31</v>
      </c>
      <c r="E463" s="783">
        <f t="shared" ref="E463:E464" si="870">E459</f>
        <v>920133.70762499981</v>
      </c>
      <c r="F463" s="783"/>
      <c r="G463" s="783">
        <f t="shared" ref="G463:J463" si="871">G454</f>
        <v>9453.834230769231</v>
      </c>
      <c r="H463" s="783">
        <f t="shared" si="871"/>
        <v>10380.399999999998</v>
      </c>
      <c r="I463" s="783">
        <f t="shared" si="871"/>
        <v>5638.7688214285708</v>
      </c>
      <c r="J463" s="783">
        <f t="shared" si="871"/>
        <v>11413.97082</v>
      </c>
      <c r="K463" s="776">
        <f t="shared" si="864"/>
        <v>957020.6814971976</v>
      </c>
      <c r="L463" s="776">
        <f t="shared" si="865"/>
        <v>143553.10222457963</v>
      </c>
      <c r="M463" s="776">
        <f t="shared" si="866"/>
        <v>1100573.7837217771</v>
      </c>
      <c r="N463" s="776">
        <f t="shared" si="867"/>
        <v>951381.91267576907</v>
      </c>
      <c r="O463" s="776">
        <f t="shared" si="868"/>
        <v>142707.28690136535</v>
      </c>
      <c r="P463" s="776">
        <f t="shared" si="869"/>
        <v>1094089.1995771343</v>
      </c>
      <c r="Q463" s="783">
        <f t="shared" ref="Q463:Q464" si="872">Q459</f>
        <v>28545.64942307692</v>
      </c>
    </row>
    <row r="464" spans="1:17" s="769" customFormat="1">
      <c r="A464" s="809" t="s">
        <v>767</v>
      </c>
      <c r="B464" s="810" t="s">
        <v>770</v>
      </c>
      <c r="C464" s="804" t="s">
        <v>51</v>
      </c>
      <c r="D464" s="801" t="s">
        <v>31</v>
      </c>
      <c r="E464" s="783">
        <f t="shared" si="870"/>
        <v>1148007.139125</v>
      </c>
      <c r="F464" s="783"/>
      <c r="G464" s="783">
        <f t="shared" ref="G464:J464" si="873">G455</f>
        <v>12289.984499999999</v>
      </c>
      <c r="H464" s="783">
        <f t="shared" si="873"/>
        <v>10380.399999999998</v>
      </c>
      <c r="I464" s="783">
        <f t="shared" si="873"/>
        <v>7330.3994678571435</v>
      </c>
      <c r="J464" s="783">
        <f t="shared" si="873"/>
        <v>14838.162066000001</v>
      </c>
      <c r="K464" s="776">
        <f t="shared" si="864"/>
        <v>1192846.0851588571</v>
      </c>
      <c r="L464" s="776">
        <f t="shared" si="865"/>
        <v>178926.91277382855</v>
      </c>
      <c r="M464" s="776">
        <f t="shared" si="866"/>
        <v>1371772.9979326855</v>
      </c>
      <c r="N464" s="776">
        <f t="shared" si="867"/>
        <v>1185515.685691</v>
      </c>
      <c r="O464" s="776">
        <f t="shared" si="868"/>
        <v>177827.35285364999</v>
      </c>
      <c r="P464" s="776">
        <f t="shared" si="869"/>
        <v>1363343.03854465</v>
      </c>
      <c r="Q464" s="783">
        <f t="shared" si="872"/>
        <v>35526.211346153839</v>
      </c>
    </row>
    <row r="465" spans="1:17" s="769" customFormat="1" ht="14">
      <c r="A465" s="771">
        <v>26</v>
      </c>
      <c r="B465" s="808" t="s">
        <v>282</v>
      </c>
      <c r="C465" s="804" t="s">
        <v>51</v>
      </c>
      <c r="D465" s="801" t="s">
        <v>31</v>
      </c>
      <c r="E465" s="783"/>
      <c r="F465" s="783"/>
      <c r="G465" s="783"/>
      <c r="H465" s="783"/>
      <c r="I465" s="783"/>
      <c r="J465" s="783"/>
      <c r="K465" s="776"/>
      <c r="L465" s="776"/>
      <c r="M465" s="776"/>
      <c r="N465" s="776"/>
      <c r="O465" s="776"/>
      <c r="P465" s="776"/>
      <c r="Q465" s="783"/>
    </row>
    <row r="466" spans="1:17" s="769" customFormat="1">
      <c r="A466" s="771">
        <v>26.1</v>
      </c>
      <c r="B466" s="808" t="s">
        <v>771</v>
      </c>
      <c r="C466" s="804" t="s">
        <v>51</v>
      </c>
      <c r="D466" s="801" t="s">
        <v>31</v>
      </c>
      <c r="E466" s="783"/>
      <c r="F466" s="783"/>
      <c r="G466" s="783"/>
      <c r="H466" s="783"/>
      <c r="I466" s="783"/>
      <c r="J466" s="783"/>
      <c r="K466" s="776"/>
      <c r="L466" s="776"/>
      <c r="M466" s="776"/>
      <c r="N466" s="776"/>
      <c r="O466" s="776"/>
      <c r="P466" s="776"/>
      <c r="Q466" s="783"/>
    </row>
    <row r="467" spans="1:17" s="769" customFormat="1">
      <c r="A467" s="809" t="s">
        <v>767</v>
      </c>
      <c r="B467" s="810" t="s">
        <v>768</v>
      </c>
      <c r="C467" s="804" t="s">
        <v>51</v>
      </c>
      <c r="D467" s="801" t="s">
        <v>31</v>
      </c>
      <c r="E467" s="783">
        <f>NCong!M536</f>
        <v>731036.54249999986</v>
      </c>
      <c r="F467" s="783"/>
      <c r="G467" s="783">
        <f>G458</f>
        <v>15756.390384615384</v>
      </c>
      <c r="H467" s="783">
        <f t="shared" ref="H467:J467" si="874">H458</f>
        <v>31754</v>
      </c>
      <c r="I467" s="783">
        <f t="shared" si="874"/>
        <v>9397.9480357142857</v>
      </c>
      <c r="J467" s="783">
        <f t="shared" si="874"/>
        <v>19023.2847</v>
      </c>
      <c r="K467" s="776">
        <f t="shared" ref="K467:K473" si="875">SUM(E467:J467)</f>
        <v>806968.16562032956</v>
      </c>
      <c r="L467" s="776">
        <f t="shared" ref="L467:L473" si="876">K467*15%</f>
        <v>121045.22484304942</v>
      </c>
      <c r="M467" s="776">
        <f t="shared" ref="M467:M473" si="877">K467+L467</f>
        <v>928013.39046337898</v>
      </c>
      <c r="N467" s="776">
        <f t="shared" ref="N467:N473" si="878">K467-I467</f>
        <v>797570.21758461522</v>
      </c>
      <c r="O467" s="776">
        <f t="shared" ref="O467:O473" si="879">$L$6*N467</f>
        <v>119635.53263769227</v>
      </c>
      <c r="P467" s="776">
        <f t="shared" ref="P467:P473" si="880">N467+O467</f>
        <v>917205.75022230751</v>
      </c>
      <c r="Q467" s="783">
        <f>NCong!P536</f>
        <v>22642.332307692304</v>
      </c>
    </row>
    <row r="468" spans="1:17" s="769" customFormat="1">
      <c r="A468" s="809" t="s">
        <v>767</v>
      </c>
      <c r="B468" s="810" t="s">
        <v>769</v>
      </c>
      <c r="C468" s="804" t="s">
        <v>51</v>
      </c>
      <c r="D468" s="801" t="s">
        <v>31</v>
      </c>
      <c r="E468" s="783">
        <f>NCong!N536</f>
        <v>903926.30624999979</v>
      </c>
      <c r="F468" s="783"/>
      <c r="G468" s="783">
        <f t="shared" ref="G468:J468" si="881">G459</f>
        <v>15756.390384615384</v>
      </c>
      <c r="H468" s="783">
        <f t="shared" si="881"/>
        <v>31754</v>
      </c>
      <c r="I468" s="783">
        <f t="shared" si="881"/>
        <v>9397.9480357142857</v>
      </c>
      <c r="J468" s="783">
        <f t="shared" si="881"/>
        <v>19023.2847</v>
      </c>
      <c r="K468" s="776">
        <f t="shared" si="875"/>
        <v>979857.92937032948</v>
      </c>
      <c r="L468" s="776">
        <f t="shared" si="876"/>
        <v>146978.6894055494</v>
      </c>
      <c r="M468" s="776">
        <f t="shared" si="877"/>
        <v>1126836.6187758788</v>
      </c>
      <c r="N468" s="776">
        <f t="shared" si="878"/>
        <v>970459.98133461515</v>
      </c>
      <c r="O468" s="776">
        <f t="shared" si="879"/>
        <v>145568.99720019227</v>
      </c>
      <c r="P468" s="776">
        <f t="shared" si="880"/>
        <v>1116028.9785348075</v>
      </c>
      <c r="Q468" s="783">
        <f>NCong!Q536</f>
        <v>28108.202692307688</v>
      </c>
    </row>
    <row r="469" spans="1:17" s="769" customFormat="1">
      <c r="A469" s="809" t="s">
        <v>767</v>
      </c>
      <c r="B469" s="810" t="s">
        <v>770</v>
      </c>
      <c r="C469" s="804" t="s">
        <v>51</v>
      </c>
      <c r="D469" s="801" t="s">
        <v>31</v>
      </c>
      <c r="E469" s="783">
        <f>NCong!O536</f>
        <v>1118593.7070000002</v>
      </c>
      <c r="F469" s="783"/>
      <c r="G469" s="783">
        <f t="shared" ref="G469:J469" si="882">G460</f>
        <v>20483.307499999999</v>
      </c>
      <c r="H469" s="783">
        <f t="shared" si="882"/>
        <v>31754</v>
      </c>
      <c r="I469" s="783">
        <f t="shared" si="882"/>
        <v>12217.332446428572</v>
      </c>
      <c r="J469" s="783">
        <f t="shared" si="882"/>
        <v>24730.270110000001</v>
      </c>
      <c r="K469" s="776">
        <f t="shared" si="875"/>
        <v>1207778.6170564287</v>
      </c>
      <c r="L469" s="776">
        <f t="shared" si="876"/>
        <v>181166.79255846431</v>
      </c>
      <c r="M469" s="776">
        <f t="shared" si="877"/>
        <v>1388945.4096148929</v>
      </c>
      <c r="N469" s="776">
        <f t="shared" si="878"/>
        <v>1195561.2846100002</v>
      </c>
      <c r="O469" s="776">
        <f t="shared" si="879"/>
        <v>179334.19269150004</v>
      </c>
      <c r="P469" s="776">
        <f t="shared" si="880"/>
        <v>1374895.4773015003</v>
      </c>
      <c r="Q469" s="783">
        <f>NCong!R536</f>
        <v>34732.32653846153</v>
      </c>
    </row>
    <row r="470" spans="1:17" s="769" customFormat="1">
      <c r="A470" s="771">
        <v>26.2</v>
      </c>
      <c r="B470" s="808" t="s">
        <v>772</v>
      </c>
      <c r="C470" s="804" t="s">
        <v>51</v>
      </c>
      <c r="D470" s="801" t="s">
        <v>31</v>
      </c>
      <c r="E470" s="783"/>
      <c r="F470" s="783"/>
      <c r="G470" s="783"/>
      <c r="H470" s="783"/>
      <c r="I470" s="783"/>
      <c r="J470" s="783"/>
      <c r="K470" s="776"/>
      <c r="L470" s="776"/>
      <c r="M470" s="776"/>
      <c r="N470" s="776"/>
      <c r="O470" s="776"/>
      <c r="P470" s="776"/>
      <c r="Q470" s="783"/>
    </row>
    <row r="471" spans="1:17" s="769" customFormat="1">
      <c r="A471" s="809" t="s">
        <v>767</v>
      </c>
      <c r="B471" s="810" t="s">
        <v>768</v>
      </c>
      <c r="C471" s="804" t="s">
        <v>51</v>
      </c>
      <c r="D471" s="801" t="s">
        <v>31</v>
      </c>
      <c r="E471" s="783">
        <f>E467</f>
        <v>731036.54249999986</v>
      </c>
      <c r="F471" s="783"/>
      <c r="G471" s="783">
        <f t="shared" ref="G471:J471" si="883">G462</f>
        <v>9453.834230769231</v>
      </c>
      <c r="H471" s="783">
        <f t="shared" si="883"/>
        <v>10380.399999999998</v>
      </c>
      <c r="I471" s="783">
        <f t="shared" si="883"/>
        <v>5638.7688214285708</v>
      </c>
      <c r="J471" s="783">
        <f t="shared" si="883"/>
        <v>11413.97082</v>
      </c>
      <c r="K471" s="776">
        <f t="shared" si="875"/>
        <v>767923.51637219766</v>
      </c>
      <c r="L471" s="776">
        <f t="shared" si="876"/>
        <v>115188.52745582965</v>
      </c>
      <c r="M471" s="776">
        <f t="shared" si="877"/>
        <v>883112.04382802732</v>
      </c>
      <c r="N471" s="776">
        <f t="shared" si="878"/>
        <v>762284.74755076913</v>
      </c>
      <c r="O471" s="776">
        <f t="shared" si="879"/>
        <v>114342.71213261537</v>
      </c>
      <c r="P471" s="776">
        <f t="shared" si="880"/>
        <v>876627.45968338451</v>
      </c>
      <c r="Q471" s="783">
        <f>Q467</f>
        <v>22642.332307692304</v>
      </c>
    </row>
    <row r="472" spans="1:17" s="769" customFormat="1">
      <c r="A472" s="809" t="s">
        <v>767</v>
      </c>
      <c r="B472" s="810" t="s">
        <v>769</v>
      </c>
      <c r="C472" s="804" t="s">
        <v>51</v>
      </c>
      <c r="D472" s="801" t="s">
        <v>31</v>
      </c>
      <c r="E472" s="783">
        <f t="shared" ref="E472:E473" si="884">E468</f>
        <v>903926.30624999979</v>
      </c>
      <c r="F472" s="783"/>
      <c r="G472" s="783">
        <f t="shared" ref="G472:J472" si="885">G463</f>
        <v>9453.834230769231</v>
      </c>
      <c r="H472" s="783">
        <f t="shared" si="885"/>
        <v>10380.399999999998</v>
      </c>
      <c r="I472" s="783">
        <f t="shared" si="885"/>
        <v>5638.7688214285708</v>
      </c>
      <c r="J472" s="783">
        <f t="shared" si="885"/>
        <v>11413.97082</v>
      </c>
      <c r="K472" s="776">
        <f t="shared" si="875"/>
        <v>940813.28012219758</v>
      </c>
      <c r="L472" s="776">
        <f t="shared" si="876"/>
        <v>141121.99201832962</v>
      </c>
      <c r="M472" s="776">
        <f t="shared" si="877"/>
        <v>1081935.2721405271</v>
      </c>
      <c r="N472" s="776">
        <f t="shared" si="878"/>
        <v>935174.51130076905</v>
      </c>
      <c r="O472" s="776">
        <f t="shared" si="879"/>
        <v>140276.17669511534</v>
      </c>
      <c r="P472" s="776">
        <f t="shared" si="880"/>
        <v>1075450.6879958843</v>
      </c>
      <c r="Q472" s="783">
        <f t="shared" ref="Q472:Q473" si="886">Q468</f>
        <v>28108.202692307688</v>
      </c>
    </row>
    <row r="473" spans="1:17" s="769" customFormat="1">
      <c r="A473" s="809" t="s">
        <v>767</v>
      </c>
      <c r="B473" s="810" t="s">
        <v>770</v>
      </c>
      <c r="C473" s="804" t="s">
        <v>51</v>
      </c>
      <c r="D473" s="801" t="s">
        <v>31</v>
      </c>
      <c r="E473" s="783">
        <f t="shared" si="884"/>
        <v>1118593.7070000002</v>
      </c>
      <c r="F473" s="783"/>
      <c r="G473" s="783">
        <f t="shared" ref="G473:J473" si="887">G464</f>
        <v>12289.984499999999</v>
      </c>
      <c r="H473" s="783">
        <f t="shared" si="887"/>
        <v>10380.399999999998</v>
      </c>
      <c r="I473" s="783">
        <f t="shared" si="887"/>
        <v>7330.3994678571435</v>
      </c>
      <c r="J473" s="783">
        <f t="shared" si="887"/>
        <v>14838.162066000001</v>
      </c>
      <c r="K473" s="776">
        <f t="shared" si="875"/>
        <v>1163432.6530338572</v>
      </c>
      <c r="L473" s="776">
        <f t="shared" si="876"/>
        <v>174514.89795507857</v>
      </c>
      <c r="M473" s="776">
        <f t="shared" si="877"/>
        <v>1337947.5509889359</v>
      </c>
      <c r="N473" s="776">
        <f t="shared" si="878"/>
        <v>1156102.2535660001</v>
      </c>
      <c r="O473" s="776">
        <f t="shared" si="879"/>
        <v>173415.33803490002</v>
      </c>
      <c r="P473" s="776">
        <f t="shared" si="880"/>
        <v>1329517.5916009001</v>
      </c>
      <c r="Q473" s="783">
        <f t="shared" si="886"/>
        <v>34732.32653846153</v>
      </c>
    </row>
    <row r="474" spans="1:17" s="769" customFormat="1">
      <c r="A474" s="771">
        <v>27</v>
      </c>
      <c r="B474" s="808" t="s">
        <v>284</v>
      </c>
      <c r="C474" s="804" t="s">
        <v>51</v>
      </c>
      <c r="D474" s="801" t="s">
        <v>31</v>
      </c>
      <c r="E474" s="783"/>
      <c r="F474" s="783"/>
      <c r="G474" s="783"/>
      <c r="H474" s="783"/>
      <c r="I474" s="783"/>
      <c r="J474" s="783"/>
      <c r="K474" s="776"/>
      <c r="L474" s="776"/>
      <c r="M474" s="776"/>
      <c r="N474" s="776"/>
      <c r="O474" s="776"/>
      <c r="P474" s="776"/>
      <c r="Q474" s="783"/>
    </row>
    <row r="475" spans="1:17" s="769" customFormat="1">
      <c r="A475" s="771">
        <v>27.1</v>
      </c>
      <c r="B475" s="808" t="s">
        <v>771</v>
      </c>
      <c r="C475" s="804" t="s">
        <v>51</v>
      </c>
      <c r="D475" s="801" t="s">
        <v>31</v>
      </c>
      <c r="E475" s="783"/>
      <c r="F475" s="783"/>
      <c r="G475" s="783"/>
      <c r="H475" s="783"/>
      <c r="I475" s="783"/>
      <c r="J475" s="783"/>
      <c r="K475" s="776"/>
      <c r="L475" s="776"/>
      <c r="M475" s="776"/>
      <c r="N475" s="776"/>
      <c r="O475" s="776"/>
      <c r="P475" s="776"/>
      <c r="Q475" s="783"/>
    </row>
    <row r="476" spans="1:17" s="769" customFormat="1">
      <c r="A476" s="809" t="s">
        <v>767</v>
      </c>
      <c r="B476" s="810" t="s">
        <v>768</v>
      </c>
      <c r="C476" s="804" t="s">
        <v>51</v>
      </c>
      <c r="D476" s="801" t="s">
        <v>31</v>
      </c>
      <c r="E476" s="783">
        <f>E480</f>
        <v>368054.20409999986</v>
      </c>
      <c r="F476" s="783"/>
      <c r="G476" s="783">
        <f>G467</f>
        <v>15756.390384615384</v>
      </c>
      <c r="H476" s="783">
        <f t="shared" ref="H476:J476" si="888">H467</f>
        <v>31754</v>
      </c>
      <c r="I476" s="783">
        <f t="shared" si="888"/>
        <v>9397.9480357142857</v>
      </c>
      <c r="J476" s="783">
        <f t="shared" si="888"/>
        <v>19023.2847</v>
      </c>
      <c r="K476" s="776">
        <f t="shared" ref="K476:K478" si="889">SUM(E476:J476)</f>
        <v>443985.82722032955</v>
      </c>
      <c r="L476" s="776">
        <f t="shared" ref="L476:L478" si="890">K476*15%</f>
        <v>66597.874083049435</v>
      </c>
      <c r="M476" s="776">
        <f t="shared" ref="M476:M478" si="891">K476+L476</f>
        <v>510583.70130337897</v>
      </c>
      <c r="N476" s="776">
        <f t="shared" ref="N476:N478" si="892">K476-I476</f>
        <v>434587.87918461527</v>
      </c>
      <c r="O476" s="776">
        <f t="shared" ref="O476:O478" si="893">$L$6*N476</f>
        <v>65188.181877692288</v>
      </c>
      <c r="P476" s="776">
        <f t="shared" ref="P476:P478" si="894">N476+O476</f>
        <v>499776.06106230756</v>
      </c>
      <c r="Q476" s="783">
        <f>NCong!P537</f>
        <v>11152.084307692305</v>
      </c>
    </row>
    <row r="477" spans="1:17" s="769" customFormat="1">
      <c r="A477" s="809" t="s">
        <v>767</v>
      </c>
      <c r="B477" s="810" t="s">
        <v>769</v>
      </c>
      <c r="C477" s="804" t="s">
        <v>51</v>
      </c>
      <c r="D477" s="801" t="s">
        <v>31</v>
      </c>
      <c r="E477" s="783">
        <f t="shared" ref="E477:E478" si="895">E481</f>
        <v>358627.55692499987</v>
      </c>
      <c r="F477" s="783"/>
      <c r="G477" s="783">
        <f t="shared" ref="G477:J477" si="896">G468</f>
        <v>15756.390384615384</v>
      </c>
      <c r="H477" s="783">
        <f t="shared" si="896"/>
        <v>31754</v>
      </c>
      <c r="I477" s="783">
        <f t="shared" si="896"/>
        <v>9397.9480357142857</v>
      </c>
      <c r="J477" s="783">
        <f t="shared" si="896"/>
        <v>19023.2847</v>
      </c>
      <c r="K477" s="776">
        <f t="shared" si="889"/>
        <v>434559.18004532956</v>
      </c>
      <c r="L477" s="776">
        <f t="shared" si="890"/>
        <v>65183.877006799434</v>
      </c>
      <c r="M477" s="776">
        <f t="shared" si="891"/>
        <v>499743.05705212901</v>
      </c>
      <c r="N477" s="776">
        <f t="shared" si="892"/>
        <v>425161.23200961528</v>
      </c>
      <c r="O477" s="776">
        <f t="shared" si="893"/>
        <v>63774.184801442287</v>
      </c>
      <c r="P477" s="776">
        <f t="shared" si="894"/>
        <v>488935.4168110576</v>
      </c>
      <c r="Q477" s="783">
        <f>NCong!Q537</f>
        <v>10850.556961538461</v>
      </c>
    </row>
    <row r="478" spans="1:17" s="769" customFormat="1">
      <c r="A478" s="809" t="s">
        <v>767</v>
      </c>
      <c r="B478" s="810" t="s">
        <v>770</v>
      </c>
      <c r="C478" s="804" t="s">
        <v>51</v>
      </c>
      <c r="D478" s="801" t="s">
        <v>31</v>
      </c>
      <c r="E478" s="783">
        <f t="shared" si="895"/>
        <v>470106.21322499996</v>
      </c>
      <c r="F478" s="783"/>
      <c r="G478" s="783">
        <f t="shared" ref="G478:J478" si="897">G469</f>
        <v>20483.307499999999</v>
      </c>
      <c r="H478" s="783">
        <f t="shared" si="897"/>
        <v>31754</v>
      </c>
      <c r="I478" s="783">
        <f t="shared" si="897"/>
        <v>12217.332446428572</v>
      </c>
      <c r="J478" s="783">
        <f t="shared" si="897"/>
        <v>24730.270110000001</v>
      </c>
      <c r="K478" s="776">
        <f t="shared" si="889"/>
        <v>559291.12328142859</v>
      </c>
      <c r="L478" s="776">
        <f t="shared" si="890"/>
        <v>83893.668492214289</v>
      </c>
      <c r="M478" s="776">
        <f t="shared" si="891"/>
        <v>643184.79177364288</v>
      </c>
      <c r="N478" s="776">
        <f t="shared" si="892"/>
        <v>547073.79083499999</v>
      </c>
      <c r="O478" s="776">
        <f t="shared" si="893"/>
        <v>82061.068625250002</v>
      </c>
      <c r="P478" s="776">
        <f t="shared" si="894"/>
        <v>629134.85946025001</v>
      </c>
      <c r="Q478" s="783">
        <f>NCong!R537</f>
        <v>14181.613346153845</v>
      </c>
    </row>
    <row r="479" spans="1:17" s="769" customFormat="1">
      <c r="A479" s="771">
        <v>27.2</v>
      </c>
      <c r="B479" s="808" t="s">
        <v>772</v>
      </c>
      <c r="C479" s="804"/>
      <c r="D479" s="801"/>
      <c r="E479" s="783"/>
      <c r="F479" s="783"/>
      <c r="G479" s="783"/>
      <c r="H479" s="783"/>
      <c r="I479" s="783"/>
      <c r="J479" s="783"/>
      <c r="K479" s="776"/>
      <c r="L479" s="776"/>
      <c r="M479" s="776"/>
      <c r="N479" s="776"/>
      <c r="O479" s="776"/>
      <c r="P479" s="776"/>
      <c r="Q479" s="783"/>
    </row>
    <row r="480" spans="1:17" s="769" customFormat="1">
      <c r="A480" s="809" t="s">
        <v>767</v>
      </c>
      <c r="B480" s="810" t="s">
        <v>768</v>
      </c>
      <c r="C480" s="804" t="s">
        <v>51</v>
      </c>
      <c r="D480" s="801" t="s">
        <v>31</v>
      </c>
      <c r="E480" s="783">
        <f>NCong!M537</f>
        <v>368054.20409999986</v>
      </c>
      <c r="F480" s="783"/>
      <c r="G480" s="783">
        <f>G471</f>
        <v>9453.834230769231</v>
      </c>
      <c r="H480" s="783">
        <f t="shared" ref="H480:J480" si="898">H471</f>
        <v>10380.399999999998</v>
      </c>
      <c r="I480" s="783">
        <f t="shared" si="898"/>
        <v>5638.7688214285708</v>
      </c>
      <c r="J480" s="783">
        <f t="shared" si="898"/>
        <v>11413.97082</v>
      </c>
      <c r="K480" s="776">
        <f t="shared" ref="K480:K482" si="899">SUM(E480:J480)</f>
        <v>404941.17797219771</v>
      </c>
      <c r="L480" s="776">
        <f t="shared" ref="L480:L482" si="900">K480*15%</f>
        <v>60741.17669582965</v>
      </c>
      <c r="M480" s="776">
        <f t="shared" ref="M480:M482" si="901">K480+L480</f>
        <v>465682.35466802737</v>
      </c>
      <c r="N480" s="776">
        <f t="shared" ref="N480:N482" si="902">K480-I480</f>
        <v>399302.40915076912</v>
      </c>
      <c r="O480" s="776">
        <f t="shared" ref="O480:O482" si="903">$L$6*N480</f>
        <v>59895.361372615364</v>
      </c>
      <c r="P480" s="776">
        <f t="shared" ref="P480:P482" si="904">N480+O480</f>
        <v>459197.7705233845</v>
      </c>
      <c r="Q480" s="783">
        <f>Q476</f>
        <v>11152.084307692305</v>
      </c>
    </row>
    <row r="481" spans="1:17" s="769" customFormat="1">
      <c r="A481" s="809" t="s">
        <v>767</v>
      </c>
      <c r="B481" s="810" t="s">
        <v>769</v>
      </c>
      <c r="C481" s="804" t="s">
        <v>51</v>
      </c>
      <c r="D481" s="801" t="s">
        <v>31</v>
      </c>
      <c r="E481" s="783">
        <f>NCong!N537</f>
        <v>358627.55692499987</v>
      </c>
      <c r="F481" s="783"/>
      <c r="G481" s="783">
        <f>G472</f>
        <v>9453.834230769231</v>
      </c>
      <c r="H481" s="783">
        <f t="shared" ref="H481:J482" si="905">H472</f>
        <v>10380.399999999998</v>
      </c>
      <c r="I481" s="783">
        <f t="shared" si="905"/>
        <v>5638.7688214285708</v>
      </c>
      <c r="J481" s="783">
        <f t="shared" si="905"/>
        <v>11413.97082</v>
      </c>
      <c r="K481" s="776">
        <f t="shared" si="899"/>
        <v>395514.53079719772</v>
      </c>
      <c r="L481" s="776">
        <f t="shared" si="900"/>
        <v>59327.179619579656</v>
      </c>
      <c r="M481" s="776">
        <f t="shared" si="901"/>
        <v>454841.71041677735</v>
      </c>
      <c r="N481" s="776">
        <f t="shared" si="902"/>
        <v>389875.76197576913</v>
      </c>
      <c r="O481" s="776">
        <f t="shared" si="903"/>
        <v>58481.364296365369</v>
      </c>
      <c r="P481" s="776">
        <f t="shared" si="904"/>
        <v>448357.12627213448</v>
      </c>
      <c r="Q481" s="783">
        <f t="shared" ref="Q481:Q482" si="906">Q477</f>
        <v>10850.556961538461</v>
      </c>
    </row>
    <row r="482" spans="1:17" s="769" customFormat="1">
      <c r="A482" s="809" t="s">
        <v>767</v>
      </c>
      <c r="B482" s="810" t="s">
        <v>770</v>
      </c>
      <c r="C482" s="804" t="s">
        <v>51</v>
      </c>
      <c r="D482" s="801" t="s">
        <v>31</v>
      </c>
      <c r="E482" s="783">
        <f>NCong!O537</f>
        <v>470106.21322499996</v>
      </c>
      <c r="F482" s="783"/>
      <c r="G482" s="783">
        <f>G473</f>
        <v>12289.984499999999</v>
      </c>
      <c r="H482" s="783">
        <f t="shared" si="905"/>
        <v>10380.399999999998</v>
      </c>
      <c r="I482" s="783">
        <f t="shared" si="905"/>
        <v>7330.3994678571435</v>
      </c>
      <c r="J482" s="783">
        <f t="shared" si="905"/>
        <v>14838.162066000001</v>
      </c>
      <c r="K482" s="776">
        <f t="shared" si="899"/>
        <v>514945.15925885714</v>
      </c>
      <c r="L482" s="776">
        <f t="shared" si="900"/>
        <v>77241.773888828568</v>
      </c>
      <c r="M482" s="776">
        <f t="shared" si="901"/>
        <v>592186.93314768572</v>
      </c>
      <c r="N482" s="776">
        <f t="shared" si="902"/>
        <v>507614.75979099999</v>
      </c>
      <c r="O482" s="776">
        <f t="shared" si="903"/>
        <v>76142.213968650001</v>
      </c>
      <c r="P482" s="776">
        <f t="shared" si="904"/>
        <v>583756.97375965002</v>
      </c>
      <c r="Q482" s="783">
        <f t="shared" si="906"/>
        <v>14181.613346153845</v>
      </c>
    </row>
    <row r="483" spans="1:17" s="769" customFormat="1">
      <c r="A483" s="771">
        <v>28</v>
      </c>
      <c r="B483" s="808" t="s">
        <v>286</v>
      </c>
      <c r="C483" s="800" t="s">
        <v>51</v>
      </c>
      <c r="D483" s="801" t="s">
        <v>31</v>
      </c>
      <c r="E483" s="783"/>
      <c r="F483" s="783"/>
      <c r="G483" s="783"/>
      <c r="H483" s="783"/>
      <c r="I483" s="783"/>
      <c r="J483" s="783"/>
      <c r="K483" s="776"/>
      <c r="L483" s="776"/>
      <c r="M483" s="776"/>
      <c r="N483" s="776"/>
      <c r="O483" s="776"/>
      <c r="P483" s="776"/>
      <c r="Q483" s="783"/>
    </row>
    <row r="484" spans="1:17" s="769" customFormat="1">
      <c r="A484" s="771">
        <v>28.1</v>
      </c>
      <c r="B484" s="808" t="s">
        <v>771</v>
      </c>
      <c r="C484" s="804" t="s">
        <v>51</v>
      </c>
      <c r="D484" s="801" t="s">
        <v>31</v>
      </c>
      <c r="E484" s="812"/>
      <c r="F484" s="812"/>
      <c r="G484" s="812"/>
      <c r="H484" s="812"/>
      <c r="I484" s="812"/>
      <c r="J484" s="812"/>
      <c r="K484" s="776"/>
      <c r="L484" s="776"/>
      <c r="M484" s="776"/>
      <c r="N484" s="776"/>
      <c r="O484" s="776"/>
      <c r="P484" s="776"/>
      <c r="Q484" s="812"/>
    </row>
    <row r="485" spans="1:17" s="769" customFormat="1">
      <c r="A485" s="809" t="s">
        <v>767</v>
      </c>
      <c r="B485" s="810" t="s">
        <v>768</v>
      </c>
      <c r="C485" s="804" t="s">
        <v>51</v>
      </c>
      <c r="D485" s="801" t="s">
        <v>31</v>
      </c>
      <c r="E485" s="812">
        <f>E489</f>
        <v>742775.23649999988</v>
      </c>
      <c r="F485" s="812"/>
      <c r="G485" s="812">
        <f>G467</f>
        <v>15756.390384615384</v>
      </c>
      <c r="H485" s="812">
        <f t="shared" ref="H485:J485" si="907">H467</f>
        <v>31754</v>
      </c>
      <c r="I485" s="812">
        <f t="shared" si="907"/>
        <v>9397.9480357142857</v>
      </c>
      <c r="J485" s="812">
        <f t="shared" si="907"/>
        <v>19023.2847</v>
      </c>
      <c r="K485" s="776">
        <f t="shared" ref="K485:K487" si="908">SUM(E485:J485)</f>
        <v>818706.85962032957</v>
      </c>
      <c r="L485" s="776">
        <f t="shared" ref="L485:L487" si="909">K485*15%</f>
        <v>122806.02894304943</v>
      </c>
      <c r="M485" s="776">
        <f t="shared" ref="M485:M487" si="910">K485+L485</f>
        <v>941512.88856337895</v>
      </c>
      <c r="N485" s="776">
        <f t="shared" ref="N485:N487" si="911">K485-I485</f>
        <v>809308.91158461524</v>
      </c>
      <c r="O485" s="776">
        <f t="shared" ref="O485:O487" si="912">$L$6*N485</f>
        <v>121396.33673769228</v>
      </c>
      <c r="P485" s="776">
        <f t="shared" ref="P485:P487" si="913">N485+O485</f>
        <v>930705.24832230748</v>
      </c>
      <c r="Q485" s="812">
        <f>NCong!P538</f>
        <v>22959.166153846152</v>
      </c>
    </row>
    <row r="486" spans="1:17" s="769" customFormat="1">
      <c r="A486" s="809" t="s">
        <v>767</v>
      </c>
      <c r="B486" s="810" t="s">
        <v>769</v>
      </c>
      <c r="C486" s="804" t="s">
        <v>51</v>
      </c>
      <c r="D486" s="801" t="s">
        <v>31</v>
      </c>
      <c r="E486" s="812">
        <f t="shared" ref="E486:E487" si="914">E490</f>
        <v>920133.70762499981</v>
      </c>
      <c r="F486" s="812"/>
      <c r="G486" s="812">
        <f>G468</f>
        <v>15756.390384615384</v>
      </c>
      <c r="H486" s="812">
        <f t="shared" ref="H486:J487" si="915">H468</f>
        <v>31754</v>
      </c>
      <c r="I486" s="812">
        <f t="shared" si="915"/>
        <v>9397.9480357142857</v>
      </c>
      <c r="J486" s="812">
        <f t="shared" si="915"/>
        <v>19023.2847</v>
      </c>
      <c r="K486" s="776">
        <f t="shared" si="908"/>
        <v>996065.3307453295</v>
      </c>
      <c r="L486" s="776">
        <f t="shared" si="909"/>
        <v>149409.79961179942</v>
      </c>
      <c r="M486" s="776">
        <f t="shared" si="910"/>
        <v>1145475.130357129</v>
      </c>
      <c r="N486" s="776">
        <f t="shared" si="911"/>
        <v>986667.38270961517</v>
      </c>
      <c r="O486" s="776">
        <f t="shared" si="912"/>
        <v>148000.10740644226</v>
      </c>
      <c r="P486" s="776">
        <f t="shared" si="913"/>
        <v>1134667.4901160575</v>
      </c>
      <c r="Q486" s="812">
        <f>NCong!Q538</f>
        <v>28545.64942307692</v>
      </c>
    </row>
    <row r="487" spans="1:17" s="769" customFormat="1">
      <c r="A487" s="809" t="s">
        <v>767</v>
      </c>
      <c r="B487" s="810" t="s">
        <v>770</v>
      </c>
      <c r="C487" s="804" t="s">
        <v>51</v>
      </c>
      <c r="D487" s="801" t="s">
        <v>31</v>
      </c>
      <c r="E487" s="812">
        <f t="shared" si="914"/>
        <v>1148007.139125</v>
      </c>
      <c r="F487" s="812"/>
      <c r="G487" s="812">
        <f>G469</f>
        <v>20483.307499999999</v>
      </c>
      <c r="H487" s="812">
        <f t="shared" si="915"/>
        <v>31754</v>
      </c>
      <c r="I487" s="812">
        <f t="shared" si="915"/>
        <v>12217.332446428572</v>
      </c>
      <c r="J487" s="812">
        <f t="shared" si="915"/>
        <v>24730.270110000001</v>
      </c>
      <c r="K487" s="776">
        <f t="shared" si="908"/>
        <v>1237192.0491814285</v>
      </c>
      <c r="L487" s="776">
        <f t="shared" si="909"/>
        <v>185578.80737721428</v>
      </c>
      <c r="M487" s="776">
        <f t="shared" si="910"/>
        <v>1422770.8565586428</v>
      </c>
      <c r="N487" s="776">
        <f t="shared" si="911"/>
        <v>1224974.716735</v>
      </c>
      <c r="O487" s="776">
        <f t="shared" si="912"/>
        <v>183746.20751025001</v>
      </c>
      <c r="P487" s="776">
        <f t="shared" si="913"/>
        <v>1408720.9242452499</v>
      </c>
      <c r="Q487" s="812">
        <f>NCong!R538</f>
        <v>35526.211346153839</v>
      </c>
    </row>
    <row r="488" spans="1:17" s="769" customFormat="1">
      <c r="A488" s="771">
        <v>28.2</v>
      </c>
      <c r="B488" s="808" t="s">
        <v>772</v>
      </c>
      <c r="C488" s="804"/>
      <c r="D488" s="801"/>
      <c r="E488" s="812"/>
      <c r="F488" s="812"/>
      <c r="G488" s="812"/>
      <c r="H488" s="812"/>
      <c r="I488" s="812"/>
      <c r="J488" s="812"/>
      <c r="K488" s="776"/>
      <c r="L488" s="776"/>
      <c r="M488" s="776"/>
      <c r="N488" s="776"/>
      <c r="O488" s="776"/>
      <c r="P488" s="776"/>
      <c r="Q488" s="812"/>
    </row>
    <row r="489" spans="1:17" s="769" customFormat="1">
      <c r="A489" s="809" t="s">
        <v>767</v>
      </c>
      <c r="B489" s="810" t="s">
        <v>768</v>
      </c>
      <c r="C489" s="804" t="s">
        <v>51</v>
      </c>
      <c r="D489" s="801" t="s">
        <v>31</v>
      </c>
      <c r="E489" s="812">
        <f>NCong!M538</f>
        <v>742775.23649999988</v>
      </c>
      <c r="F489" s="812"/>
      <c r="G489" s="812">
        <f>G480</f>
        <v>9453.834230769231</v>
      </c>
      <c r="H489" s="812">
        <f t="shared" ref="H489:J489" si="916">H480</f>
        <v>10380.399999999998</v>
      </c>
      <c r="I489" s="812">
        <f t="shared" si="916"/>
        <v>5638.7688214285708</v>
      </c>
      <c r="J489" s="812">
        <f t="shared" si="916"/>
        <v>11413.97082</v>
      </c>
      <c r="K489" s="776">
        <f t="shared" ref="K489:K491" si="917">SUM(E489:J489)</f>
        <v>779662.21037219767</v>
      </c>
      <c r="L489" s="776">
        <f t="shared" ref="L489:L491" si="918">K489*15%</f>
        <v>116949.33155582965</v>
      </c>
      <c r="M489" s="776">
        <f t="shared" ref="M489:M491" si="919">K489+L489</f>
        <v>896611.54192802729</v>
      </c>
      <c r="N489" s="776">
        <f t="shared" ref="N489:N491" si="920">K489-I489</f>
        <v>774023.44155076914</v>
      </c>
      <c r="O489" s="776">
        <f t="shared" ref="O489:O491" si="921">$L$6*N489</f>
        <v>116103.51623261537</v>
      </c>
      <c r="P489" s="776">
        <f t="shared" ref="P489:P491" si="922">N489+O489</f>
        <v>890126.95778338448</v>
      </c>
      <c r="Q489" s="812">
        <f>Q485</f>
        <v>22959.166153846152</v>
      </c>
    </row>
    <row r="490" spans="1:17" s="769" customFormat="1">
      <c r="A490" s="809" t="s">
        <v>767</v>
      </c>
      <c r="B490" s="810" t="s">
        <v>769</v>
      </c>
      <c r="C490" s="804" t="s">
        <v>51</v>
      </c>
      <c r="D490" s="801" t="s">
        <v>31</v>
      </c>
      <c r="E490" s="812">
        <f>NCong!N538</f>
        <v>920133.70762499981</v>
      </c>
      <c r="F490" s="812"/>
      <c r="G490" s="812">
        <f t="shared" ref="G490:J490" si="923">G481</f>
        <v>9453.834230769231</v>
      </c>
      <c r="H490" s="812">
        <f t="shared" si="923"/>
        <v>10380.399999999998</v>
      </c>
      <c r="I490" s="812">
        <f t="shared" si="923"/>
        <v>5638.7688214285708</v>
      </c>
      <c r="J490" s="812">
        <f t="shared" si="923"/>
        <v>11413.97082</v>
      </c>
      <c r="K490" s="776">
        <f t="shared" si="917"/>
        <v>957020.6814971976</v>
      </c>
      <c r="L490" s="776">
        <f t="shared" si="918"/>
        <v>143553.10222457963</v>
      </c>
      <c r="M490" s="776">
        <f t="shared" si="919"/>
        <v>1100573.7837217771</v>
      </c>
      <c r="N490" s="776">
        <f t="shared" si="920"/>
        <v>951381.91267576907</v>
      </c>
      <c r="O490" s="776">
        <f t="shared" si="921"/>
        <v>142707.28690136535</v>
      </c>
      <c r="P490" s="776">
        <f t="shared" si="922"/>
        <v>1094089.1995771343</v>
      </c>
      <c r="Q490" s="812">
        <f t="shared" ref="Q490:Q491" si="924">Q486</f>
        <v>28545.64942307692</v>
      </c>
    </row>
    <row r="491" spans="1:17" s="769" customFormat="1">
      <c r="A491" s="809" t="s">
        <v>767</v>
      </c>
      <c r="B491" s="810" t="s">
        <v>770</v>
      </c>
      <c r="C491" s="804" t="s">
        <v>51</v>
      </c>
      <c r="D491" s="801" t="s">
        <v>31</v>
      </c>
      <c r="E491" s="812">
        <f>NCong!O538</f>
        <v>1148007.139125</v>
      </c>
      <c r="F491" s="812"/>
      <c r="G491" s="812">
        <f t="shared" ref="G491:J491" si="925">G482</f>
        <v>12289.984499999999</v>
      </c>
      <c r="H491" s="812">
        <f t="shared" si="925"/>
        <v>10380.399999999998</v>
      </c>
      <c r="I491" s="812">
        <f t="shared" si="925"/>
        <v>7330.3994678571435</v>
      </c>
      <c r="J491" s="812">
        <f t="shared" si="925"/>
        <v>14838.162066000001</v>
      </c>
      <c r="K491" s="776">
        <f t="shared" si="917"/>
        <v>1192846.0851588571</v>
      </c>
      <c r="L491" s="776">
        <f t="shared" si="918"/>
        <v>178926.91277382855</v>
      </c>
      <c r="M491" s="776">
        <f t="shared" si="919"/>
        <v>1371772.9979326855</v>
      </c>
      <c r="N491" s="776">
        <f t="shared" si="920"/>
        <v>1185515.685691</v>
      </c>
      <c r="O491" s="776">
        <f t="shared" si="921"/>
        <v>177827.35285364999</v>
      </c>
      <c r="P491" s="776">
        <f t="shared" si="922"/>
        <v>1363343.03854465</v>
      </c>
      <c r="Q491" s="812">
        <f t="shared" si="924"/>
        <v>35526.211346153839</v>
      </c>
    </row>
    <row r="492" spans="1:17" s="769" customFormat="1" hidden="1">
      <c r="A492" s="771" t="s">
        <v>19</v>
      </c>
      <c r="B492" s="774" t="s">
        <v>671</v>
      </c>
      <c r="C492" s="771" t="s">
        <v>51</v>
      </c>
      <c r="D492" s="774"/>
      <c r="E492" s="776">
        <f t="shared" ref="E492:J492" si="926">E493+E494</f>
        <v>1998289.1280000003</v>
      </c>
      <c r="F492" s="776">
        <f t="shared" si="926"/>
        <v>0</v>
      </c>
      <c r="G492" s="776">
        <f t="shared" si="926"/>
        <v>15756.390384615384</v>
      </c>
      <c r="H492" s="776">
        <f t="shared" si="926"/>
        <v>31754</v>
      </c>
      <c r="I492" s="776">
        <f t="shared" si="926"/>
        <v>9397.9480357142857</v>
      </c>
      <c r="J492" s="776">
        <f t="shared" si="926"/>
        <v>19023.2847</v>
      </c>
      <c r="K492" s="776">
        <f>SUM(E492:J492)</f>
        <v>2074220.7511203298</v>
      </c>
      <c r="L492" s="776">
        <f>$L$6*K492</f>
        <v>311133.11266804946</v>
      </c>
      <c r="M492" s="776">
        <f>K492+L492</f>
        <v>2385353.8637883794</v>
      </c>
      <c r="N492" s="776"/>
      <c r="O492" s="776"/>
      <c r="P492" s="776"/>
      <c r="Q492" s="776">
        <f t="shared" ref="Q492" si="927">Q493+Q494</f>
        <v>57411.538461538461</v>
      </c>
    </row>
    <row r="493" spans="1:17" s="780" customFormat="1" ht="14" hidden="1">
      <c r="A493" s="777" t="str">
        <f>NCong!A455</f>
        <v>VII.1</v>
      </c>
      <c r="B493" s="781" t="str">
        <f>NCong!B455</f>
        <v>CÁC NỘI DUNG THỰC HIỆN TẠI ĐỊA BÀN XÃ, PHƯỜNG (TRƯỜNG HỢP CÓ CẤP GCN</v>
      </c>
      <c r="C493" s="777" t="s">
        <v>51</v>
      </c>
      <c r="D493" s="778">
        <f>NCong!E455</f>
        <v>0</v>
      </c>
      <c r="E493" s="779">
        <f>NCong!K455</f>
        <v>1998289.1280000003</v>
      </c>
      <c r="F493" s="779"/>
      <c r="G493" s="779">
        <f>Dcu!K214</f>
        <v>15756.390384615384</v>
      </c>
      <c r="H493" s="779">
        <f>VLieu!I153</f>
        <v>31754</v>
      </c>
      <c r="I493" s="779">
        <f>Tbi!I127</f>
        <v>9397.9480357142857</v>
      </c>
      <c r="J493" s="779">
        <f>Tbi!I134</f>
        <v>19023.2847</v>
      </c>
      <c r="K493" s="779">
        <f>SUM(E493:J493)</f>
        <v>2074220.7511203298</v>
      </c>
      <c r="L493" s="779">
        <f>$L$6*K493</f>
        <v>311133.11266804946</v>
      </c>
      <c r="M493" s="779">
        <f>K493+L493</f>
        <v>2385353.8637883794</v>
      </c>
      <c r="N493" s="779"/>
      <c r="O493" s="779"/>
      <c r="P493" s="779"/>
      <c r="Q493" s="779">
        <f>NCong!N455</f>
        <v>57411.538461538461</v>
      </c>
    </row>
    <row r="494" spans="1:17" s="780" customFormat="1" hidden="1">
      <c r="A494" s="777">
        <f>NCong!A504</f>
        <v>0</v>
      </c>
      <c r="B494" s="781">
        <f>NCong!B504</f>
        <v>0</v>
      </c>
      <c r="C494" s="777" t="s">
        <v>51</v>
      </c>
      <c r="D494" s="778">
        <f>NCong!E504</f>
        <v>0</v>
      </c>
      <c r="E494" s="779">
        <f>NCong!K504</f>
        <v>0</v>
      </c>
      <c r="F494" s="779"/>
      <c r="G494" s="779"/>
      <c r="H494" s="779"/>
      <c r="I494" s="779"/>
      <c r="J494" s="779"/>
      <c r="K494" s="779">
        <f>SUM(E494:J494)</f>
        <v>0</v>
      </c>
      <c r="L494" s="779">
        <f>$L$6*K494</f>
        <v>0</v>
      </c>
      <c r="M494" s="779">
        <f>K494+L494</f>
        <v>0</v>
      </c>
      <c r="N494" s="779"/>
      <c r="O494" s="779"/>
      <c r="P494" s="779"/>
      <c r="Q494" s="779">
        <f>NCong!N504</f>
        <v>0</v>
      </c>
    </row>
    <row r="495" spans="1:17" s="769" customFormat="1" ht="17.25" customHeight="1">
      <c r="A495" s="838" t="s">
        <v>233</v>
      </c>
      <c r="B495" s="1081" t="str">
        <f>NCong!B542</f>
        <v xml:space="preserve">Đăng ký biến động đất đai đối với tổ chức, tổ chức tôn giáo, tổ chức tôn giáo trực thuộc, tổ chức nước ngoài có chức năng ngoại giao, tổ chức kinh tế có vốn đầu tư nước ngoài, tổ chức nước ngoài, cá nhân nước ngoài </v>
      </c>
      <c r="C495" s="1082"/>
      <c r="D495" s="1082"/>
      <c r="E495" s="1082"/>
      <c r="F495" s="1082"/>
      <c r="G495" s="1082"/>
      <c r="H495" s="1082"/>
      <c r="I495" s="1082"/>
      <c r="J495" s="1082"/>
      <c r="K495" s="1082"/>
      <c r="L495" s="1082"/>
      <c r="M495" s="1082"/>
      <c r="N495" s="1082"/>
      <c r="O495" s="1082"/>
      <c r="P495" s="1082"/>
      <c r="Q495" s="783"/>
    </row>
    <row r="496" spans="1:17" s="769" customFormat="1" ht="14">
      <c r="A496" s="771" t="s">
        <v>234</v>
      </c>
      <c r="B496" s="774" t="s">
        <v>743</v>
      </c>
      <c r="C496" s="771"/>
      <c r="D496" s="771"/>
      <c r="E496" s="776"/>
      <c r="F496" s="776"/>
      <c r="G496" s="776"/>
      <c r="H496" s="776"/>
      <c r="I496" s="776"/>
      <c r="J496" s="776"/>
      <c r="K496" s="776"/>
      <c r="L496" s="776"/>
      <c r="M496" s="776"/>
      <c r="N496" s="776"/>
      <c r="O496" s="776"/>
      <c r="P496" s="776"/>
      <c r="Q496" s="776"/>
    </row>
    <row r="497" spans="1:17" s="769" customFormat="1">
      <c r="A497" s="771">
        <v>1</v>
      </c>
      <c r="B497" s="774" t="s">
        <v>736</v>
      </c>
      <c r="C497" s="800" t="s">
        <v>51</v>
      </c>
      <c r="D497" s="801" t="s">
        <v>31</v>
      </c>
      <c r="E497" s="776">
        <f>NCong!K543+NCong!K585</f>
        <v>2831880.6119999997</v>
      </c>
      <c r="F497" s="776"/>
      <c r="G497" s="776">
        <f>G504+G505</f>
        <v>15622.70412820513</v>
      </c>
      <c r="H497" s="776">
        <f>H504+H505</f>
        <v>27173.82</v>
      </c>
      <c r="I497" s="776">
        <f t="shared" ref="I497:J497" si="928">I504+I505</f>
        <v>13858.50575</v>
      </c>
      <c r="J497" s="776">
        <f t="shared" si="928"/>
        <v>31878.212100000001</v>
      </c>
      <c r="K497" s="776">
        <f t="shared" ref="K497" si="929">SUM(E497:J497)</f>
        <v>2920413.853978205</v>
      </c>
      <c r="L497" s="776">
        <f t="shared" ref="L497" si="930">K497*15%</f>
        <v>438062.07809673075</v>
      </c>
      <c r="M497" s="776">
        <f t="shared" ref="M497" si="931">K497+L497</f>
        <v>3358475.9320749356</v>
      </c>
      <c r="N497" s="776">
        <f t="shared" ref="N497" si="932">K497-I497</f>
        <v>2906555.348228205</v>
      </c>
      <c r="O497" s="776">
        <f t="shared" ref="O497" si="933">$L$6*N497</f>
        <v>435983.30223423074</v>
      </c>
      <c r="P497" s="776">
        <f t="shared" ref="P497" si="934">N497+O497</f>
        <v>3342538.6504624356</v>
      </c>
      <c r="Q497" s="776">
        <f>NCong!N543+NCong!N585</f>
        <v>79442.000000000015</v>
      </c>
    </row>
    <row r="498" spans="1:17" s="769" customFormat="1">
      <c r="A498" s="771">
        <v>2</v>
      </c>
      <c r="B498" s="774" t="s">
        <v>737</v>
      </c>
      <c r="C498" s="800" t="s">
        <v>51</v>
      </c>
      <c r="D498" s="801" t="s">
        <v>31</v>
      </c>
      <c r="E498" s="776">
        <f>NCong!L543+NCong!L585</f>
        <v>2790002.0279999999</v>
      </c>
      <c r="F498" s="776"/>
      <c r="G498" s="776">
        <f>G497</f>
        <v>15622.70412820513</v>
      </c>
      <c r="H498" s="776">
        <f t="shared" ref="H498:J498" si="935">H497</f>
        <v>27173.82</v>
      </c>
      <c r="I498" s="776">
        <f t="shared" si="935"/>
        <v>13858.50575</v>
      </c>
      <c r="J498" s="776">
        <f t="shared" si="935"/>
        <v>31878.212100000001</v>
      </c>
      <c r="K498" s="776">
        <f t="shared" ref="K498" si="936">SUM(E498:J498)</f>
        <v>2878535.2699782052</v>
      </c>
      <c r="L498" s="776">
        <f t="shared" ref="L498" si="937">K498*15%</f>
        <v>431780.29049673077</v>
      </c>
      <c r="M498" s="776">
        <f t="shared" ref="M498" si="938">K498+L498</f>
        <v>3310315.5604749359</v>
      </c>
      <c r="N498" s="776">
        <f t="shared" ref="N498" si="939">K498-I498</f>
        <v>2864676.7642282052</v>
      </c>
      <c r="O498" s="776">
        <f t="shared" ref="O498" si="940">$L$6*N498</f>
        <v>429701.51463423076</v>
      </c>
      <c r="P498" s="776">
        <f t="shared" ref="P498" si="941">N498+O498</f>
        <v>3294378.2788624358</v>
      </c>
      <c r="Q498" s="776">
        <f>NCong!O543+NCong!O585</f>
        <v>78264.576923076922</v>
      </c>
    </row>
    <row r="499" spans="1:17" s="769" customFormat="1">
      <c r="A499" s="771">
        <v>3</v>
      </c>
      <c r="B499" s="774" t="s">
        <v>738</v>
      </c>
      <c r="C499" s="800" t="s">
        <v>51</v>
      </c>
      <c r="D499" s="801" t="s">
        <v>31</v>
      </c>
      <c r="E499" s="776">
        <f>NCong!M543+NCong!M585</f>
        <v>3563504.8102500006</v>
      </c>
      <c r="F499" s="776"/>
      <c r="G499" s="776">
        <f>G498*1.3</f>
        <v>20309.51536666667</v>
      </c>
      <c r="H499" s="776">
        <f>H498</f>
        <v>27173.82</v>
      </c>
      <c r="I499" s="776">
        <f>I498*1.3</f>
        <v>18016.057475000001</v>
      </c>
      <c r="J499" s="776">
        <f>J498*1.3</f>
        <v>41441.675730000003</v>
      </c>
      <c r="K499" s="776">
        <f t="shared" ref="K499" si="942">SUM(E499:J499)</f>
        <v>3670445.8788216668</v>
      </c>
      <c r="L499" s="776">
        <f t="shared" ref="L499" si="943">K499*15%</f>
        <v>550566.88182324998</v>
      </c>
      <c r="M499" s="776">
        <f t="shared" ref="M499" si="944">K499+L499</f>
        <v>4221012.7606449164</v>
      </c>
      <c r="N499" s="776">
        <f t="shared" ref="N499" si="945">K499-I499</f>
        <v>3652429.8213466667</v>
      </c>
      <c r="O499" s="776">
        <f t="shared" ref="O499" si="946">$L$6*N499</f>
        <v>547864.47320200002</v>
      </c>
      <c r="P499" s="776">
        <f t="shared" ref="P499" si="947">N499+O499</f>
        <v>4200294.294548667</v>
      </c>
      <c r="Q499" s="776">
        <f>NCong!P543+NCong!P585</f>
        <v>99983.653846153844</v>
      </c>
    </row>
    <row r="500" spans="1:17" s="769" customFormat="1" ht="14">
      <c r="A500" s="771" t="s">
        <v>235</v>
      </c>
      <c r="B500" s="774" t="s">
        <v>744</v>
      </c>
      <c r="C500" s="771"/>
      <c r="D500" s="771"/>
      <c r="E500" s="776"/>
      <c r="F500" s="776"/>
      <c r="G500" s="776"/>
      <c r="H500" s="776"/>
      <c r="I500" s="776"/>
      <c r="J500" s="776"/>
      <c r="K500" s="776"/>
      <c r="L500" s="776"/>
      <c r="M500" s="776"/>
      <c r="N500" s="776"/>
      <c r="O500" s="776"/>
      <c r="P500" s="776"/>
      <c r="Q500" s="776"/>
    </row>
    <row r="501" spans="1:17" s="769" customFormat="1">
      <c r="A501" s="771">
        <v>1</v>
      </c>
      <c r="B501" s="774" t="s">
        <v>736</v>
      </c>
      <c r="C501" s="800" t="s">
        <v>51</v>
      </c>
      <c r="D501" s="801" t="s">
        <v>31</v>
      </c>
      <c r="E501" s="776">
        <f>E497</f>
        <v>2831880.6119999997</v>
      </c>
      <c r="F501" s="776"/>
      <c r="G501" s="776">
        <f>G497*0.6</f>
        <v>9373.6224769230776</v>
      </c>
      <c r="H501" s="776">
        <f>H497*0.6-VLieu!J166</f>
        <v>7632.2919999999995</v>
      </c>
      <c r="I501" s="776">
        <f>I497*0.6</f>
        <v>8315.1034500000005</v>
      </c>
      <c r="J501" s="776">
        <f>J497*0.6</f>
        <v>19126.92726</v>
      </c>
      <c r="K501" s="776">
        <f t="shared" ref="K501" si="948">SUM(E501:J501)</f>
        <v>2876328.5571869225</v>
      </c>
      <c r="L501" s="776">
        <f t="shared" ref="L501" si="949">K501*15%</f>
        <v>431449.28357803839</v>
      </c>
      <c r="M501" s="776">
        <f t="shared" ref="M501" si="950">K501+L501</f>
        <v>3307777.8407649607</v>
      </c>
      <c r="N501" s="776">
        <f t="shared" ref="N501" si="951">K501-I501</f>
        <v>2868013.4537369227</v>
      </c>
      <c r="O501" s="776">
        <f t="shared" ref="O501" si="952">$L$6*N501</f>
        <v>430202.01806053839</v>
      </c>
      <c r="P501" s="776">
        <f t="shared" ref="P501" si="953">N501+O501</f>
        <v>3298215.4717974612</v>
      </c>
      <c r="Q501" s="776">
        <f>Q497</f>
        <v>79442.000000000015</v>
      </c>
    </row>
    <row r="502" spans="1:17" s="769" customFormat="1">
      <c r="A502" s="771">
        <v>2</v>
      </c>
      <c r="B502" s="774" t="s">
        <v>737</v>
      </c>
      <c r="C502" s="800" t="s">
        <v>51</v>
      </c>
      <c r="D502" s="801" t="s">
        <v>31</v>
      </c>
      <c r="E502" s="776">
        <f t="shared" ref="E502:E503" si="954">E498</f>
        <v>2790002.0279999999</v>
      </c>
      <c r="F502" s="776"/>
      <c r="G502" s="776">
        <f>G501</f>
        <v>9373.6224769230776</v>
      </c>
      <c r="H502" s="776">
        <f t="shared" ref="H502:J502" si="955">H501</f>
        <v>7632.2919999999995</v>
      </c>
      <c r="I502" s="776">
        <f t="shared" si="955"/>
        <v>8315.1034500000005</v>
      </c>
      <c r="J502" s="776">
        <f t="shared" si="955"/>
        <v>19126.92726</v>
      </c>
      <c r="K502" s="776">
        <f t="shared" ref="K502:K503" si="956">SUM(E502:J502)</f>
        <v>2834449.9731869227</v>
      </c>
      <c r="L502" s="776">
        <f t="shared" ref="L502:L503" si="957">K502*15%</f>
        <v>425167.49597803841</v>
      </c>
      <c r="M502" s="776">
        <f t="shared" ref="M502:M503" si="958">K502+L502</f>
        <v>3259617.469164961</v>
      </c>
      <c r="N502" s="776">
        <f t="shared" ref="N502:N503" si="959">K502-I502</f>
        <v>2826134.8697369229</v>
      </c>
      <c r="O502" s="776">
        <f t="shared" ref="O502:O503" si="960">$L$6*N502</f>
        <v>423920.23046053841</v>
      </c>
      <c r="P502" s="776">
        <f t="shared" ref="P502:P503" si="961">N502+O502</f>
        <v>3250055.1001974614</v>
      </c>
      <c r="Q502" s="776">
        <f t="shared" ref="Q502:Q503" si="962">Q498</f>
        <v>78264.576923076922</v>
      </c>
    </row>
    <row r="503" spans="1:17" s="769" customFormat="1">
      <c r="A503" s="771">
        <v>3</v>
      </c>
      <c r="B503" s="774" t="s">
        <v>738</v>
      </c>
      <c r="C503" s="800" t="s">
        <v>51</v>
      </c>
      <c r="D503" s="801" t="s">
        <v>31</v>
      </c>
      <c r="E503" s="776">
        <f t="shared" si="954"/>
        <v>3563504.8102500006</v>
      </c>
      <c r="F503" s="776"/>
      <c r="G503" s="776">
        <f>G501*1.3</f>
        <v>12185.709220000001</v>
      </c>
      <c r="H503" s="776">
        <f>H501</f>
        <v>7632.2919999999995</v>
      </c>
      <c r="I503" s="776">
        <f>I501*1.3</f>
        <v>10809.634485</v>
      </c>
      <c r="J503" s="776">
        <f>J501*1.3</f>
        <v>24865.005438</v>
      </c>
      <c r="K503" s="776">
        <f t="shared" si="956"/>
        <v>3618997.4513930003</v>
      </c>
      <c r="L503" s="776">
        <f t="shared" si="957"/>
        <v>542849.61770895007</v>
      </c>
      <c r="M503" s="776">
        <f t="shared" si="958"/>
        <v>4161847.0691019502</v>
      </c>
      <c r="N503" s="776">
        <f t="shared" si="959"/>
        <v>3608187.8169080005</v>
      </c>
      <c r="O503" s="776">
        <f t="shared" si="960"/>
        <v>541228.17253620003</v>
      </c>
      <c r="P503" s="776">
        <f t="shared" si="961"/>
        <v>4149415.9894442004</v>
      </c>
      <c r="Q503" s="776">
        <f t="shared" si="962"/>
        <v>99983.653846153844</v>
      </c>
    </row>
    <row r="504" spans="1:17" s="780" customFormat="1" hidden="1">
      <c r="A504" s="777" t="str">
        <f>NCong!A543</f>
        <v>VIII.1</v>
      </c>
      <c r="B504" s="781" t="str">
        <f>NCong!B543</f>
        <v>CÁC NỘI DUNG THỰC HIỆN TẠI ĐỊA BÀN CẤP TỈNH</v>
      </c>
      <c r="C504" s="777" t="s">
        <v>51</v>
      </c>
      <c r="D504" s="778">
        <f>NCong!E543</f>
        <v>0</v>
      </c>
      <c r="E504" s="779">
        <f>NCong!K543</f>
        <v>2749969.3319999999</v>
      </c>
      <c r="F504" s="779"/>
      <c r="G504" s="779">
        <f>Dcu!L232</f>
        <v>15519.341371794873</v>
      </c>
      <c r="H504" s="779">
        <f>VLieu!J174</f>
        <v>26641</v>
      </c>
      <c r="I504" s="779">
        <f>Tbi!I151</f>
        <v>13858.50575</v>
      </c>
      <c r="J504" s="779">
        <f>Tbi!I158+Dcu!L231</f>
        <v>31844.822100000001</v>
      </c>
      <c r="K504" s="779">
        <f>SUM(E504:J504)</f>
        <v>2837833.0012217946</v>
      </c>
      <c r="L504" s="779">
        <f>$L$6*K504</f>
        <v>425674.95018326916</v>
      </c>
      <c r="M504" s="779">
        <f>K504+L504</f>
        <v>3263507.9514050637</v>
      </c>
      <c r="N504" s="779"/>
      <c r="O504" s="779"/>
      <c r="P504" s="779"/>
      <c r="Q504" s="779">
        <f>NCong!N543</f>
        <v>76912.000000000015</v>
      </c>
    </row>
    <row r="505" spans="1:17" s="780" customFormat="1" hidden="1">
      <c r="A505" s="777" t="str">
        <f>NCong!A585</f>
        <v>VIII.3</v>
      </c>
      <c r="B505" s="781" t="str">
        <f>NCong!B585</f>
        <v>CÁC NỘI DUNG THỰC HIỆN TẠI ĐỊA BÀN XÃ, PHƯỜNG,</v>
      </c>
      <c r="C505" s="777" t="s">
        <v>51</v>
      </c>
      <c r="D505" s="778">
        <f>NCong!E585</f>
        <v>0</v>
      </c>
      <c r="E505" s="779">
        <f>NCong!K585</f>
        <v>81911.280000000013</v>
      </c>
      <c r="F505" s="779"/>
      <c r="G505" s="779">
        <f>Dcu!J232</f>
        <v>103.36275641025641</v>
      </c>
      <c r="H505" s="779">
        <f>0.02*H504</f>
        <v>532.82000000000005</v>
      </c>
      <c r="I505" s="779"/>
      <c r="J505" s="779">
        <f>Dcu!J231</f>
        <v>33.39</v>
      </c>
      <c r="K505" s="779">
        <f>SUM(E505:J505)</f>
        <v>82580.85275641027</v>
      </c>
      <c r="L505" s="779">
        <f>$L$6*K505</f>
        <v>12387.12791346154</v>
      </c>
      <c r="M505" s="779">
        <f>K505+L505</f>
        <v>94967.980669871817</v>
      </c>
      <c r="N505" s="779"/>
      <c r="O505" s="779"/>
      <c r="P505" s="779"/>
      <c r="Q505" s="779">
        <f>NCong!N585</f>
        <v>2530</v>
      </c>
    </row>
    <row r="506" spans="1:17" s="780" customFormat="1">
      <c r="A506" s="777"/>
      <c r="B506" s="786" t="s">
        <v>773</v>
      </c>
      <c r="C506" s="777"/>
      <c r="D506" s="778"/>
      <c r="E506" s="779"/>
      <c r="F506" s="779"/>
      <c r="G506" s="779"/>
      <c r="H506" s="779"/>
      <c r="I506" s="779"/>
      <c r="J506" s="779"/>
      <c r="K506" s="779"/>
      <c r="L506" s="779"/>
      <c r="M506" s="779"/>
      <c r="N506" s="779"/>
      <c r="O506" s="779"/>
      <c r="P506" s="779"/>
      <c r="Q506" s="779"/>
    </row>
    <row r="507" spans="1:17" s="780" customFormat="1" ht="14">
      <c r="A507" s="771">
        <v>1</v>
      </c>
      <c r="B507" s="774" t="s">
        <v>248</v>
      </c>
      <c r="C507" s="771" t="s">
        <v>51</v>
      </c>
      <c r="D507" s="771" t="s">
        <v>31</v>
      </c>
      <c r="E507" s="779"/>
      <c r="F507" s="779"/>
      <c r="G507" s="779"/>
      <c r="H507" s="779"/>
      <c r="I507" s="779"/>
      <c r="J507" s="779"/>
      <c r="K507" s="779"/>
      <c r="L507" s="779"/>
      <c r="M507" s="779"/>
      <c r="N507" s="779"/>
      <c r="O507" s="779"/>
      <c r="P507" s="779"/>
      <c r="Q507" s="779"/>
    </row>
    <row r="508" spans="1:17" s="780" customFormat="1">
      <c r="A508" s="771">
        <v>1.1000000000000001</v>
      </c>
      <c r="B508" s="808" t="s">
        <v>771</v>
      </c>
      <c r="C508" s="804" t="s">
        <v>51</v>
      </c>
      <c r="D508" s="801" t="s">
        <v>31</v>
      </c>
      <c r="E508" s="779"/>
      <c r="F508" s="779"/>
      <c r="G508" s="779"/>
      <c r="H508" s="779"/>
      <c r="I508" s="779"/>
      <c r="J508" s="779"/>
      <c r="K508" s="779"/>
      <c r="L508" s="779"/>
      <c r="M508" s="779"/>
      <c r="N508" s="779"/>
      <c r="O508" s="779"/>
      <c r="P508" s="779"/>
      <c r="Q508" s="779"/>
    </row>
    <row r="509" spans="1:17" s="780" customFormat="1">
      <c r="A509" s="811" t="s">
        <v>767</v>
      </c>
      <c r="B509" s="810" t="s">
        <v>768</v>
      </c>
      <c r="C509" s="804" t="s">
        <v>51</v>
      </c>
      <c r="D509" s="801" t="s">
        <v>31</v>
      </c>
      <c r="E509" s="776">
        <f>NCong!M594</f>
        <v>1778523.1827000002</v>
      </c>
      <c r="F509" s="779"/>
      <c r="G509" s="776">
        <f>G497</f>
        <v>15622.70412820513</v>
      </c>
      <c r="H509" s="776">
        <f t="shared" ref="H509:J509" si="963">H497</f>
        <v>27173.82</v>
      </c>
      <c r="I509" s="776">
        <f t="shared" si="963"/>
        <v>13858.50575</v>
      </c>
      <c r="J509" s="776">
        <f t="shared" si="963"/>
        <v>31878.212100000001</v>
      </c>
      <c r="K509" s="776">
        <f t="shared" ref="K509:K511" si="964">SUM(E509:J509)</f>
        <v>1867056.4246782053</v>
      </c>
      <c r="L509" s="776">
        <f t="shared" ref="L509:L511" si="965">K509*15%</f>
        <v>280058.46370173077</v>
      </c>
      <c r="M509" s="776">
        <f t="shared" ref="M509:M511" si="966">K509+L509</f>
        <v>2147114.8883799361</v>
      </c>
      <c r="N509" s="776">
        <f t="shared" ref="N509:N511" si="967">K509-I509</f>
        <v>1853197.9189282053</v>
      </c>
      <c r="O509" s="776">
        <f t="shared" ref="O509:O511" si="968">$L$6*N509</f>
        <v>277979.68783923076</v>
      </c>
      <c r="P509" s="776">
        <f t="shared" ref="P509:P511" si="969">N509+O509</f>
        <v>2131177.606767436</v>
      </c>
      <c r="Q509" s="776">
        <f>NCong!P594</f>
        <v>50484.476307692312</v>
      </c>
    </row>
    <row r="510" spans="1:17" s="780" customFormat="1">
      <c r="A510" s="811" t="s">
        <v>767</v>
      </c>
      <c r="B510" s="810" t="s">
        <v>769</v>
      </c>
      <c r="C510" s="804" t="s">
        <v>51</v>
      </c>
      <c r="D510" s="801" t="s">
        <v>31</v>
      </c>
      <c r="E510" s="776">
        <f>NCong!N594</f>
        <v>1766614.3209000002</v>
      </c>
      <c r="F510" s="779"/>
      <c r="G510" s="776">
        <f t="shared" ref="G510:J510" si="970">G498</f>
        <v>15622.70412820513</v>
      </c>
      <c r="H510" s="776">
        <f t="shared" si="970"/>
        <v>27173.82</v>
      </c>
      <c r="I510" s="776">
        <f t="shared" si="970"/>
        <v>13858.50575</v>
      </c>
      <c r="J510" s="776">
        <f t="shared" si="970"/>
        <v>31878.212100000001</v>
      </c>
      <c r="K510" s="776">
        <f t="shared" si="964"/>
        <v>1855147.5628782052</v>
      </c>
      <c r="L510" s="776">
        <f t="shared" si="965"/>
        <v>278272.13443173078</v>
      </c>
      <c r="M510" s="776">
        <f t="shared" si="966"/>
        <v>2133419.6973099359</v>
      </c>
      <c r="N510" s="776">
        <f t="shared" si="967"/>
        <v>1841289.0571282052</v>
      </c>
      <c r="O510" s="776">
        <f t="shared" si="968"/>
        <v>276193.35856923077</v>
      </c>
      <c r="P510" s="776">
        <f t="shared" si="969"/>
        <v>2117482.4156974358</v>
      </c>
      <c r="Q510" s="776">
        <f>NCong!Q594</f>
        <v>50169.471846153843</v>
      </c>
    </row>
    <row r="511" spans="1:17" s="780" customFormat="1">
      <c r="A511" s="811" t="s">
        <v>767</v>
      </c>
      <c r="B511" s="810" t="s">
        <v>770</v>
      </c>
      <c r="C511" s="804" t="s">
        <v>51</v>
      </c>
      <c r="D511" s="801" t="s">
        <v>31</v>
      </c>
      <c r="E511" s="776">
        <f>NCong!O594</f>
        <v>2290018.0264500002</v>
      </c>
      <c r="F511" s="779"/>
      <c r="G511" s="776">
        <f t="shared" ref="G511:J511" si="971">G499</f>
        <v>20309.51536666667</v>
      </c>
      <c r="H511" s="776">
        <f t="shared" si="971"/>
        <v>27173.82</v>
      </c>
      <c r="I511" s="776">
        <f t="shared" si="971"/>
        <v>18016.057475000001</v>
      </c>
      <c r="J511" s="776">
        <f t="shared" si="971"/>
        <v>41441.675730000003</v>
      </c>
      <c r="K511" s="776">
        <f t="shared" si="964"/>
        <v>2396959.0950216665</v>
      </c>
      <c r="L511" s="776">
        <f t="shared" si="965"/>
        <v>359543.86425324995</v>
      </c>
      <c r="M511" s="776">
        <f t="shared" si="966"/>
        <v>2756502.9592749164</v>
      </c>
      <c r="N511" s="776">
        <f t="shared" si="967"/>
        <v>2378943.0375466663</v>
      </c>
      <c r="O511" s="776">
        <f t="shared" si="968"/>
        <v>356841.45563199994</v>
      </c>
      <c r="P511" s="776">
        <f t="shared" si="969"/>
        <v>2735784.4931786661</v>
      </c>
      <c r="Q511" s="776">
        <f>NCong!R594</f>
        <v>64999.670153846157</v>
      </c>
    </row>
    <row r="512" spans="1:17" s="780" customFormat="1">
      <c r="A512" s="771">
        <v>1.2</v>
      </c>
      <c r="B512" s="808" t="s">
        <v>772</v>
      </c>
      <c r="C512" s="804" t="s">
        <v>51</v>
      </c>
      <c r="D512" s="801" t="s">
        <v>31</v>
      </c>
      <c r="E512" s="779"/>
      <c r="F512" s="779"/>
      <c r="G512" s="779"/>
      <c r="H512" s="779"/>
      <c r="I512" s="779"/>
      <c r="J512" s="779"/>
      <c r="K512" s="779"/>
      <c r="L512" s="779"/>
      <c r="M512" s="779"/>
      <c r="N512" s="779"/>
      <c r="O512" s="779"/>
      <c r="P512" s="779"/>
      <c r="Q512" s="779"/>
    </row>
    <row r="513" spans="1:17" s="780" customFormat="1">
      <c r="A513" s="811" t="s">
        <v>767</v>
      </c>
      <c r="B513" s="810" t="s">
        <v>768</v>
      </c>
      <c r="C513" s="804" t="s">
        <v>51</v>
      </c>
      <c r="D513" s="801" t="s">
        <v>31</v>
      </c>
      <c r="E513" s="776">
        <f>E509</f>
        <v>1778523.1827000002</v>
      </c>
      <c r="F513" s="779"/>
      <c r="G513" s="776">
        <f>G501</f>
        <v>9373.6224769230776</v>
      </c>
      <c r="H513" s="776">
        <f t="shared" ref="H513:J513" si="972">H501</f>
        <v>7632.2919999999995</v>
      </c>
      <c r="I513" s="776">
        <f t="shared" si="972"/>
        <v>8315.1034500000005</v>
      </c>
      <c r="J513" s="776">
        <f t="shared" si="972"/>
        <v>19126.92726</v>
      </c>
      <c r="K513" s="776">
        <f t="shared" ref="K513:K515" si="973">SUM(E513:J513)</f>
        <v>1822971.1278869233</v>
      </c>
      <c r="L513" s="776">
        <f t="shared" ref="L513:L515" si="974">K513*15%</f>
        <v>273445.66918303847</v>
      </c>
      <c r="M513" s="776">
        <f t="shared" ref="M513:M515" si="975">K513+L513</f>
        <v>2096416.7970699617</v>
      </c>
      <c r="N513" s="776">
        <f t="shared" ref="N513:N515" si="976">K513-I513</f>
        <v>1814656.0244369232</v>
      </c>
      <c r="O513" s="776">
        <f t="shared" ref="O513:O515" si="977">$L$6*N513</f>
        <v>272198.40366553847</v>
      </c>
      <c r="P513" s="776">
        <f t="shared" ref="P513:P515" si="978">N513+O513</f>
        <v>2086854.4281024616</v>
      </c>
      <c r="Q513" s="776">
        <f>Q509</f>
        <v>50484.476307692312</v>
      </c>
    </row>
    <row r="514" spans="1:17" s="780" customFormat="1">
      <c r="A514" s="811" t="s">
        <v>767</v>
      </c>
      <c r="B514" s="810" t="s">
        <v>769</v>
      </c>
      <c r="C514" s="804" t="s">
        <v>51</v>
      </c>
      <c r="D514" s="801" t="s">
        <v>31</v>
      </c>
      <c r="E514" s="776">
        <f t="shared" ref="E514:E515" si="979">E510</f>
        <v>1766614.3209000002</v>
      </c>
      <c r="F514" s="779"/>
      <c r="G514" s="776">
        <f t="shared" ref="G514:J515" si="980">G502</f>
        <v>9373.6224769230776</v>
      </c>
      <c r="H514" s="776">
        <f t="shared" si="980"/>
        <v>7632.2919999999995</v>
      </c>
      <c r="I514" s="776">
        <f t="shared" si="980"/>
        <v>8315.1034500000005</v>
      </c>
      <c r="J514" s="776">
        <f t="shared" si="980"/>
        <v>19126.92726</v>
      </c>
      <c r="K514" s="776">
        <f t="shared" si="973"/>
        <v>1811062.2660869232</v>
      </c>
      <c r="L514" s="776">
        <f t="shared" si="974"/>
        <v>271659.33991303848</v>
      </c>
      <c r="M514" s="776">
        <f t="shared" si="975"/>
        <v>2082721.6059999617</v>
      </c>
      <c r="N514" s="776">
        <f t="shared" si="976"/>
        <v>1802747.1626369231</v>
      </c>
      <c r="O514" s="776">
        <f t="shared" si="977"/>
        <v>270412.07439553848</v>
      </c>
      <c r="P514" s="776">
        <f t="shared" si="978"/>
        <v>2073159.2370324617</v>
      </c>
      <c r="Q514" s="776">
        <f t="shared" ref="Q514:Q515" si="981">Q510</f>
        <v>50169.471846153843</v>
      </c>
    </row>
    <row r="515" spans="1:17" s="780" customFormat="1">
      <c r="A515" s="811" t="s">
        <v>767</v>
      </c>
      <c r="B515" s="810" t="s">
        <v>770</v>
      </c>
      <c r="C515" s="804" t="s">
        <v>51</v>
      </c>
      <c r="D515" s="801" t="s">
        <v>31</v>
      </c>
      <c r="E515" s="776">
        <f t="shared" si="979"/>
        <v>2290018.0264500002</v>
      </c>
      <c r="F515" s="779"/>
      <c r="G515" s="776">
        <f t="shared" si="980"/>
        <v>12185.709220000001</v>
      </c>
      <c r="H515" s="776">
        <f t="shared" si="980"/>
        <v>7632.2919999999995</v>
      </c>
      <c r="I515" s="776">
        <f t="shared" si="980"/>
        <v>10809.634485</v>
      </c>
      <c r="J515" s="776">
        <f t="shared" si="980"/>
        <v>24865.005438</v>
      </c>
      <c r="K515" s="776">
        <f t="shared" si="973"/>
        <v>2345510.667593</v>
      </c>
      <c r="L515" s="776">
        <f t="shared" si="974"/>
        <v>351826.60013894999</v>
      </c>
      <c r="M515" s="776">
        <f t="shared" si="975"/>
        <v>2697337.2677319502</v>
      </c>
      <c r="N515" s="776">
        <f t="shared" si="976"/>
        <v>2334701.0331080002</v>
      </c>
      <c r="O515" s="776">
        <f t="shared" si="977"/>
        <v>350205.1549662</v>
      </c>
      <c r="P515" s="776">
        <f t="shared" si="978"/>
        <v>2684906.1880742004</v>
      </c>
      <c r="Q515" s="776">
        <f t="shared" si="981"/>
        <v>64999.670153846157</v>
      </c>
    </row>
    <row r="516" spans="1:17" s="780" customFormat="1" ht="14">
      <c r="A516" s="771">
        <v>2</v>
      </c>
      <c r="B516" s="774" t="s">
        <v>249</v>
      </c>
      <c r="C516" s="771" t="s">
        <v>51</v>
      </c>
      <c r="D516" s="771" t="s">
        <v>31</v>
      </c>
      <c r="E516" s="779"/>
      <c r="F516" s="779"/>
      <c r="G516" s="779"/>
      <c r="H516" s="779"/>
      <c r="I516" s="779"/>
      <c r="J516" s="779"/>
      <c r="K516" s="779"/>
      <c r="L516" s="779"/>
      <c r="M516" s="779"/>
      <c r="N516" s="779"/>
      <c r="O516" s="779"/>
      <c r="P516" s="779"/>
      <c r="Q516" s="779"/>
    </row>
    <row r="517" spans="1:17" s="780" customFormat="1">
      <c r="A517" s="771">
        <v>2.1</v>
      </c>
      <c r="B517" s="808" t="s">
        <v>771</v>
      </c>
      <c r="C517" s="804" t="s">
        <v>51</v>
      </c>
      <c r="D517" s="801" t="s">
        <v>31</v>
      </c>
      <c r="E517" s="779"/>
      <c r="F517" s="779"/>
      <c r="G517" s="779"/>
      <c r="H517" s="779"/>
      <c r="I517" s="779"/>
      <c r="J517" s="779"/>
      <c r="K517" s="779"/>
      <c r="L517" s="779"/>
      <c r="M517" s="779"/>
      <c r="N517" s="779"/>
      <c r="O517" s="779"/>
      <c r="P517" s="779"/>
      <c r="Q517" s="779"/>
    </row>
    <row r="518" spans="1:17" s="780" customFormat="1">
      <c r="A518" s="811" t="s">
        <v>767</v>
      </c>
      <c r="B518" s="810" t="s">
        <v>768</v>
      </c>
      <c r="C518" s="804" t="s">
        <v>51</v>
      </c>
      <c r="D518" s="801" t="s">
        <v>31</v>
      </c>
      <c r="E518" s="776">
        <f>NCong!M595</f>
        <v>1775794.7295000001</v>
      </c>
      <c r="F518" s="779"/>
      <c r="G518" s="776">
        <f>G509</f>
        <v>15622.70412820513</v>
      </c>
      <c r="H518" s="776">
        <f t="shared" ref="H518:J518" si="982">H509</f>
        <v>27173.82</v>
      </c>
      <c r="I518" s="776">
        <f t="shared" si="982"/>
        <v>13858.50575</v>
      </c>
      <c r="J518" s="776">
        <f t="shared" si="982"/>
        <v>31878.212100000001</v>
      </c>
      <c r="K518" s="776">
        <f t="shared" ref="K518:K520" si="983">SUM(E518:J518)</f>
        <v>1864327.9714782052</v>
      </c>
      <c r="L518" s="776">
        <f t="shared" ref="L518:L520" si="984">K518*15%</f>
        <v>279649.19572173076</v>
      </c>
      <c r="M518" s="776">
        <f t="shared" ref="M518:M520" si="985">K518+L518</f>
        <v>2143977.1671999358</v>
      </c>
      <c r="N518" s="776">
        <f t="shared" ref="N518:N520" si="986">K518-I518</f>
        <v>1850469.4657282052</v>
      </c>
      <c r="O518" s="776">
        <f t="shared" ref="O518:O520" si="987">$L$6*N518</f>
        <v>277570.41985923075</v>
      </c>
      <c r="P518" s="776">
        <f t="shared" ref="P518:P520" si="988">N518+O518</f>
        <v>2128039.8855874361</v>
      </c>
      <c r="Q518" s="776">
        <f>NCong!P595</f>
        <v>50410.833846153851</v>
      </c>
    </row>
    <row r="519" spans="1:17" s="780" customFormat="1">
      <c r="A519" s="811" t="s">
        <v>767</v>
      </c>
      <c r="B519" s="810" t="s">
        <v>769</v>
      </c>
      <c r="C519" s="804" t="s">
        <v>51</v>
      </c>
      <c r="D519" s="801" t="s">
        <v>31</v>
      </c>
      <c r="E519" s="776">
        <f>NCong!N595</f>
        <v>1765033.0582500002</v>
      </c>
      <c r="F519" s="779"/>
      <c r="G519" s="776">
        <f t="shared" ref="G519:J519" si="989">G510</f>
        <v>15622.70412820513</v>
      </c>
      <c r="H519" s="776">
        <f t="shared" si="989"/>
        <v>27173.82</v>
      </c>
      <c r="I519" s="776">
        <f t="shared" si="989"/>
        <v>13858.50575</v>
      </c>
      <c r="J519" s="776">
        <f t="shared" si="989"/>
        <v>31878.212100000001</v>
      </c>
      <c r="K519" s="776">
        <f t="shared" si="983"/>
        <v>1853566.3002282053</v>
      </c>
      <c r="L519" s="776">
        <f t="shared" si="984"/>
        <v>278034.94503423077</v>
      </c>
      <c r="M519" s="776">
        <f t="shared" si="985"/>
        <v>2131601.2452624361</v>
      </c>
      <c r="N519" s="776">
        <f t="shared" si="986"/>
        <v>1839707.7944782053</v>
      </c>
      <c r="O519" s="776">
        <f t="shared" si="987"/>
        <v>275956.16917173075</v>
      </c>
      <c r="P519" s="776">
        <f t="shared" si="988"/>
        <v>2115663.963649936</v>
      </c>
      <c r="Q519" s="776">
        <f>NCong!Q595</f>
        <v>50126.792692307688</v>
      </c>
    </row>
    <row r="520" spans="1:17" s="780" customFormat="1">
      <c r="A520" s="811" t="s">
        <v>767</v>
      </c>
      <c r="B520" s="810" t="s">
        <v>770</v>
      </c>
      <c r="C520" s="804" t="s">
        <v>51</v>
      </c>
      <c r="D520" s="801" t="s">
        <v>31</v>
      </c>
      <c r="E520" s="776">
        <f>NCong!O595</f>
        <v>2286359.4187500002</v>
      </c>
      <c r="F520" s="779"/>
      <c r="G520" s="776">
        <f t="shared" ref="G520:J520" si="990">G511</f>
        <v>20309.51536666667</v>
      </c>
      <c r="H520" s="776">
        <f t="shared" si="990"/>
        <v>27173.82</v>
      </c>
      <c r="I520" s="776">
        <f t="shared" si="990"/>
        <v>18016.057475000001</v>
      </c>
      <c r="J520" s="776">
        <f t="shared" si="990"/>
        <v>41441.675730000003</v>
      </c>
      <c r="K520" s="776">
        <f t="shared" si="983"/>
        <v>2393300.4873216664</v>
      </c>
      <c r="L520" s="776">
        <f t="shared" si="984"/>
        <v>358995.07309824997</v>
      </c>
      <c r="M520" s="776">
        <f t="shared" si="985"/>
        <v>2752295.5604199162</v>
      </c>
      <c r="N520" s="776">
        <f t="shared" si="986"/>
        <v>2375284.4298466663</v>
      </c>
      <c r="O520" s="776">
        <f t="shared" si="987"/>
        <v>356292.66447699995</v>
      </c>
      <c r="P520" s="776">
        <f t="shared" si="988"/>
        <v>2731577.0943236663</v>
      </c>
      <c r="Q520" s="776">
        <f>NCong!R595</f>
        <v>64900.922307692308</v>
      </c>
    </row>
    <row r="521" spans="1:17" s="780" customFormat="1">
      <c r="A521" s="771">
        <v>2.2000000000000002</v>
      </c>
      <c r="B521" s="808" t="s">
        <v>772</v>
      </c>
      <c r="C521" s="804" t="s">
        <v>51</v>
      </c>
      <c r="D521" s="801" t="s">
        <v>31</v>
      </c>
      <c r="E521" s="779"/>
      <c r="F521" s="779"/>
      <c r="G521" s="776"/>
      <c r="H521" s="776"/>
      <c r="I521" s="776"/>
      <c r="J521" s="776"/>
      <c r="K521" s="779"/>
      <c r="L521" s="779"/>
      <c r="M521" s="779"/>
      <c r="N521" s="779"/>
      <c r="O521" s="779"/>
      <c r="P521" s="779"/>
      <c r="Q521" s="779"/>
    </row>
    <row r="522" spans="1:17" s="780" customFormat="1">
      <c r="A522" s="811" t="s">
        <v>767</v>
      </c>
      <c r="B522" s="810" t="s">
        <v>768</v>
      </c>
      <c r="C522" s="804" t="s">
        <v>51</v>
      </c>
      <c r="D522" s="801" t="s">
        <v>31</v>
      </c>
      <c r="E522" s="776">
        <f>E518</f>
        <v>1775794.7295000001</v>
      </c>
      <c r="F522" s="779"/>
      <c r="G522" s="776">
        <f t="shared" ref="G522:J522" si="991">G513</f>
        <v>9373.6224769230776</v>
      </c>
      <c r="H522" s="776">
        <f t="shared" si="991"/>
        <v>7632.2919999999995</v>
      </c>
      <c r="I522" s="776">
        <f t="shared" si="991"/>
        <v>8315.1034500000005</v>
      </c>
      <c r="J522" s="776">
        <f t="shared" si="991"/>
        <v>19126.92726</v>
      </c>
      <c r="K522" s="776">
        <f t="shared" ref="K522:K524" si="992">SUM(E522:J522)</f>
        <v>1820242.6746869232</v>
      </c>
      <c r="L522" s="776">
        <f t="shared" ref="L522:L524" si="993">K522*15%</f>
        <v>273036.40120303846</v>
      </c>
      <c r="M522" s="776">
        <f t="shared" ref="M522:M524" si="994">K522+L522</f>
        <v>2093279.0758899616</v>
      </c>
      <c r="N522" s="776">
        <f t="shared" ref="N522:N524" si="995">K522-I522</f>
        <v>1811927.5712369231</v>
      </c>
      <c r="O522" s="776">
        <f t="shared" ref="O522:O524" si="996">$L$6*N522</f>
        <v>271789.13568553847</v>
      </c>
      <c r="P522" s="776">
        <f t="shared" ref="P522:P524" si="997">N522+O522</f>
        <v>2083716.7069224615</v>
      </c>
      <c r="Q522" s="776">
        <f>Q518</f>
        <v>50410.833846153851</v>
      </c>
    </row>
    <row r="523" spans="1:17" s="780" customFormat="1">
      <c r="A523" s="811" t="s">
        <v>767</v>
      </c>
      <c r="B523" s="810" t="s">
        <v>769</v>
      </c>
      <c r="C523" s="804" t="s">
        <v>51</v>
      </c>
      <c r="D523" s="801" t="s">
        <v>31</v>
      </c>
      <c r="E523" s="776">
        <f t="shared" ref="E523:E524" si="998">E519</f>
        <v>1765033.0582500002</v>
      </c>
      <c r="F523" s="779"/>
      <c r="G523" s="776">
        <f t="shared" ref="G523:J523" si="999">G514</f>
        <v>9373.6224769230776</v>
      </c>
      <c r="H523" s="776">
        <f t="shared" si="999"/>
        <v>7632.2919999999995</v>
      </c>
      <c r="I523" s="776">
        <f t="shared" si="999"/>
        <v>8315.1034500000005</v>
      </c>
      <c r="J523" s="776">
        <f t="shared" si="999"/>
        <v>19126.92726</v>
      </c>
      <c r="K523" s="776">
        <f t="shared" si="992"/>
        <v>1809481.0034369233</v>
      </c>
      <c r="L523" s="776">
        <f t="shared" si="993"/>
        <v>271422.15051553847</v>
      </c>
      <c r="M523" s="776">
        <f t="shared" si="994"/>
        <v>2080903.1539524617</v>
      </c>
      <c r="N523" s="776">
        <f t="shared" si="995"/>
        <v>1801165.8999869232</v>
      </c>
      <c r="O523" s="776">
        <f t="shared" si="996"/>
        <v>270174.88499803847</v>
      </c>
      <c r="P523" s="776">
        <f t="shared" si="997"/>
        <v>2071340.7849849616</v>
      </c>
      <c r="Q523" s="776">
        <f t="shared" ref="Q523:Q524" si="1000">Q519</f>
        <v>50126.792692307688</v>
      </c>
    </row>
    <row r="524" spans="1:17" s="780" customFormat="1">
      <c r="A524" s="811" t="s">
        <v>767</v>
      </c>
      <c r="B524" s="810" t="s">
        <v>770</v>
      </c>
      <c r="C524" s="804" t="s">
        <v>51</v>
      </c>
      <c r="D524" s="801" t="s">
        <v>31</v>
      </c>
      <c r="E524" s="776">
        <f t="shared" si="998"/>
        <v>2286359.4187500002</v>
      </c>
      <c r="F524" s="779"/>
      <c r="G524" s="776">
        <f t="shared" ref="G524:J524" si="1001">G515</f>
        <v>12185.709220000001</v>
      </c>
      <c r="H524" s="776">
        <f t="shared" si="1001"/>
        <v>7632.2919999999995</v>
      </c>
      <c r="I524" s="776">
        <f t="shared" si="1001"/>
        <v>10809.634485</v>
      </c>
      <c r="J524" s="776">
        <f t="shared" si="1001"/>
        <v>24865.005438</v>
      </c>
      <c r="K524" s="776">
        <f t="shared" si="992"/>
        <v>2341852.0598929999</v>
      </c>
      <c r="L524" s="776">
        <f t="shared" si="993"/>
        <v>351277.80898395</v>
      </c>
      <c r="M524" s="776">
        <f t="shared" si="994"/>
        <v>2693129.8688769499</v>
      </c>
      <c r="N524" s="776">
        <f t="shared" si="995"/>
        <v>2331042.4254080001</v>
      </c>
      <c r="O524" s="776">
        <f t="shared" si="996"/>
        <v>349656.36381120002</v>
      </c>
      <c r="P524" s="776">
        <f t="shared" si="997"/>
        <v>2680698.7892192001</v>
      </c>
      <c r="Q524" s="776">
        <f t="shared" si="1000"/>
        <v>64900.922307692308</v>
      </c>
    </row>
    <row r="525" spans="1:17" s="780" customFormat="1">
      <c r="A525" s="771">
        <v>3</v>
      </c>
      <c r="B525" s="774" t="s">
        <v>250</v>
      </c>
      <c r="C525" s="771" t="s">
        <v>51</v>
      </c>
      <c r="D525" s="771" t="s">
        <v>31</v>
      </c>
      <c r="E525" s="779"/>
      <c r="F525" s="779"/>
      <c r="G525" s="779"/>
      <c r="H525" s="779"/>
      <c r="I525" s="779"/>
      <c r="J525" s="779"/>
      <c r="K525" s="779"/>
      <c r="L525" s="779"/>
      <c r="M525" s="779"/>
      <c r="N525" s="779"/>
      <c r="O525" s="779"/>
      <c r="P525" s="779"/>
      <c r="Q525" s="779"/>
    </row>
    <row r="526" spans="1:17" s="780" customFormat="1">
      <c r="A526" s="771">
        <v>3.1</v>
      </c>
      <c r="B526" s="808" t="s">
        <v>771</v>
      </c>
      <c r="C526" s="804" t="s">
        <v>51</v>
      </c>
      <c r="D526" s="801" t="s">
        <v>31</v>
      </c>
      <c r="E526" s="779"/>
      <c r="F526" s="779"/>
      <c r="G526" s="779"/>
      <c r="H526" s="779"/>
      <c r="I526" s="779"/>
      <c r="J526" s="779"/>
      <c r="K526" s="779"/>
      <c r="L526" s="779"/>
      <c r="M526" s="779"/>
      <c r="N526" s="779"/>
      <c r="O526" s="779"/>
      <c r="P526" s="779"/>
      <c r="Q526" s="779"/>
    </row>
    <row r="527" spans="1:17" s="780" customFormat="1">
      <c r="A527" s="811" t="s">
        <v>767</v>
      </c>
      <c r="B527" s="810" t="s">
        <v>768</v>
      </c>
      <c r="C527" s="804" t="s">
        <v>51</v>
      </c>
      <c r="D527" s="801" t="s">
        <v>31</v>
      </c>
      <c r="E527" s="776">
        <f>NCong!M596</f>
        <v>1772485.11</v>
      </c>
      <c r="F527" s="779"/>
      <c r="G527" s="776">
        <f>G518</f>
        <v>15622.70412820513</v>
      </c>
      <c r="H527" s="776">
        <f t="shared" ref="H527:J527" si="1002">H518</f>
        <v>27173.82</v>
      </c>
      <c r="I527" s="776">
        <f t="shared" si="1002"/>
        <v>13858.50575</v>
      </c>
      <c r="J527" s="776">
        <f t="shared" si="1002"/>
        <v>31878.212100000001</v>
      </c>
      <c r="K527" s="776">
        <f t="shared" ref="K527:K533" si="1003">SUM(E527:J527)</f>
        <v>1861018.3519782051</v>
      </c>
      <c r="L527" s="776">
        <f t="shared" ref="L527:L533" si="1004">K527*15%</f>
        <v>279152.75279673078</v>
      </c>
      <c r="M527" s="776">
        <f t="shared" ref="M527:M533" si="1005">K527+L527</f>
        <v>2140171.1047749361</v>
      </c>
      <c r="N527" s="776">
        <f t="shared" ref="N527:N533" si="1006">K527-I527</f>
        <v>1847159.8462282051</v>
      </c>
      <c r="O527" s="776">
        <f t="shared" ref="O527:O533" si="1007">$L$6*N527</f>
        <v>277073.97693423077</v>
      </c>
      <c r="P527" s="776">
        <f t="shared" ref="P527:P533" si="1008">N527+O527</f>
        <v>2124233.823162436</v>
      </c>
      <c r="Q527" s="779">
        <f>NCong!P596</f>
        <v>50375.024615384616</v>
      </c>
    </row>
    <row r="528" spans="1:17" s="780" customFormat="1">
      <c r="A528" s="811" t="s">
        <v>767</v>
      </c>
      <c r="B528" s="810" t="s">
        <v>769</v>
      </c>
      <c r="C528" s="804" t="s">
        <v>51</v>
      </c>
      <c r="D528" s="801" t="s">
        <v>31</v>
      </c>
      <c r="E528" s="776">
        <f>NCong!N596</f>
        <v>1753817.1255000003</v>
      </c>
      <c r="F528" s="779"/>
      <c r="G528" s="776">
        <f t="shared" ref="G528:J528" si="1009">G519</f>
        <v>15622.70412820513</v>
      </c>
      <c r="H528" s="776">
        <f t="shared" si="1009"/>
        <v>27173.82</v>
      </c>
      <c r="I528" s="776">
        <f t="shared" si="1009"/>
        <v>13858.50575</v>
      </c>
      <c r="J528" s="776">
        <f t="shared" si="1009"/>
        <v>31878.212100000001</v>
      </c>
      <c r="K528" s="776">
        <f t="shared" si="1003"/>
        <v>1842350.3674782054</v>
      </c>
      <c r="L528" s="776">
        <f t="shared" si="1004"/>
        <v>276352.55512173078</v>
      </c>
      <c r="M528" s="776">
        <f t="shared" si="1005"/>
        <v>2118702.9225999359</v>
      </c>
      <c r="N528" s="776">
        <f t="shared" si="1006"/>
        <v>1828491.8617282053</v>
      </c>
      <c r="O528" s="776">
        <f t="shared" si="1007"/>
        <v>274273.77925923077</v>
      </c>
      <c r="P528" s="776">
        <f t="shared" si="1008"/>
        <v>2102765.6409874363</v>
      </c>
      <c r="Q528" s="779">
        <f>NCong!Q596</f>
        <v>49824.06846153846</v>
      </c>
    </row>
    <row r="529" spans="1:17" s="780" customFormat="1">
      <c r="A529" s="811" t="s">
        <v>767</v>
      </c>
      <c r="B529" s="810" t="s">
        <v>770</v>
      </c>
      <c r="C529" s="804" t="s">
        <v>51</v>
      </c>
      <c r="D529" s="801" t="s">
        <v>31</v>
      </c>
      <c r="E529" s="776">
        <f>NCong!O596</f>
        <v>2276452.1917500007</v>
      </c>
      <c r="F529" s="779"/>
      <c r="G529" s="776">
        <f t="shared" ref="G529:J529" si="1010">G520</f>
        <v>20309.51536666667</v>
      </c>
      <c r="H529" s="776">
        <f t="shared" si="1010"/>
        <v>27173.82</v>
      </c>
      <c r="I529" s="776">
        <f t="shared" si="1010"/>
        <v>18016.057475000001</v>
      </c>
      <c r="J529" s="776">
        <f t="shared" si="1010"/>
        <v>41441.675730000003</v>
      </c>
      <c r="K529" s="776">
        <f t="shared" si="1003"/>
        <v>2383393.260321667</v>
      </c>
      <c r="L529" s="776">
        <f t="shared" si="1004"/>
        <v>357508.98904825002</v>
      </c>
      <c r="M529" s="776">
        <f t="shared" si="1005"/>
        <v>2740902.249369917</v>
      </c>
      <c r="N529" s="776">
        <f t="shared" si="1006"/>
        <v>2365377.2028466668</v>
      </c>
      <c r="O529" s="776">
        <f t="shared" si="1007"/>
        <v>354806.58042700001</v>
      </c>
      <c r="P529" s="776">
        <f t="shared" si="1008"/>
        <v>2720183.7832736666</v>
      </c>
      <c r="Q529" s="779">
        <f>NCong!R596</f>
        <v>64687.040000000001</v>
      </c>
    </row>
    <row r="530" spans="1:17" s="780" customFormat="1">
      <c r="A530" s="771">
        <v>3.2</v>
      </c>
      <c r="B530" s="808" t="s">
        <v>772</v>
      </c>
      <c r="C530" s="804" t="s">
        <v>51</v>
      </c>
      <c r="D530" s="801" t="s">
        <v>31</v>
      </c>
      <c r="E530" s="779"/>
      <c r="F530" s="779"/>
      <c r="G530" s="776"/>
      <c r="H530" s="776"/>
      <c r="I530" s="776"/>
      <c r="J530" s="776"/>
      <c r="K530" s="776"/>
      <c r="L530" s="776"/>
      <c r="M530" s="776"/>
      <c r="N530" s="776"/>
      <c r="O530" s="776"/>
      <c r="P530" s="776"/>
      <c r="Q530" s="779"/>
    </row>
    <row r="531" spans="1:17" s="780" customFormat="1">
      <c r="A531" s="811" t="s">
        <v>767</v>
      </c>
      <c r="B531" s="810" t="s">
        <v>768</v>
      </c>
      <c r="C531" s="804" t="s">
        <v>51</v>
      </c>
      <c r="D531" s="801" t="s">
        <v>31</v>
      </c>
      <c r="E531" s="779">
        <f>E527</f>
        <v>1772485.11</v>
      </c>
      <c r="F531" s="779"/>
      <c r="G531" s="776">
        <f t="shared" ref="G531:J531" si="1011">G522</f>
        <v>9373.6224769230776</v>
      </c>
      <c r="H531" s="776">
        <f t="shared" si="1011"/>
        <v>7632.2919999999995</v>
      </c>
      <c r="I531" s="776">
        <f t="shared" si="1011"/>
        <v>8315.1034500000005</v>
      </c>
      <c r="J531" s="776">
        <f t="shared" si="1011"/>
        <v>19126.92726</v>
      </c>
      <c r="K531" s="776">
        <f t="shared" si="1003"/>
        <v>1816933.0551869231</v>
      </c>
      <c r="L531" s="776">
        <f t="shared" si="1004"/>
        <v>272539.95827803848</v>
      </c>
      <c r="M531" s="776">
        <f t="shared" si="1005"/>
        <v>2089473.0134649617</v>
      </c>
      <c r="N531" s="776">
        <f t="shared" si="1006"/>
        <v>1808617.9517369231</v>
      </c>
      <c r="O531" s="776">
        <f t="shared" si="1007"/>
        <v>271292.69276053843</v>
      </c>
      <c r="P531" s="776">
        <f t="shared" si="1008"/>
        <v>2079910.6444974616</v>
      </c>
      <c r="Q531" s="779">
        <f>Q527</f>
        <v>50375.024615384616</v>
      </c>
    </row>
    <row r="532" spans="1:17" s="780" customFormat="1">
      <c r="A532" s="811" t="s">
        <v>767</v>
      </c>
      <c r="B532" s="810" t="s">
        <v>769</v>
      </c>
      <c r="C532" s="804" t="s">
        <v>51</v>
      </c>
      <c r="D532" s="801" t="s">
        <v>31</v>
      </c>
      <c r="E532" s="779">
        <f t="shared" ref="E532:E533" si="1012">E528</f>
        <v>1753817.1255000003</v>
      </c>
      <c r="F532" s="779"/>
      <c r="G532" s="776">
        <f t="shared" ref="G532:J532" si="1013">G523</f>
        <v>9373.6224769230776</v>
      </c>
      <c r="H532" s="776">
        <f t="shared" si="1013"/>
        <v>7632.2919999999995</v>
      </c>
      <c r="I532" s="776">
        <f t="shared" si="1013"/>
        <v>8315.1034500000005</v>
      </c>
      <c r="J532" s="776">
        <f t="shared" si="1013"/>
        <v>19126.92726</v>
      </c>
      <c r="K532" s="776">
        <f t="shared" si="1003"/>
        <v>1798265.0706869233</v>
      </c>
      <c r="L532" s="776">
        <f t="shared" si="1004"/>
        <v>269739.76060303848</v>
      </c>
      <c r="M532" s="776">
        <f t="shared" si="1005"/>
        <v>2068004.8312899619</v>
      </c>
      <c r="N532" s="776">
        <f t="shared" si="1006"/>
        <v>1789949.9672369233</v>
      </c>
      <c r="O532" s="776">
        <f t="shared" si="1007"/>
        <v>268492.49508553848</v>
      </c>
      <c r="P532" s="776">
        <f t="shared" si="1008"/>
        <v>2058442.4623224619</v>
      </c>
      <c r="Q532" s="779">
        <f t="shared" ref="Q532:Q533" si="1014">Q528</f>
        <v>49824.06846153846</v>
      </c>
    </row>
    <row r="533" spans="1:17" s="780" customFormat="1">
      <c r="A533" s="811" t="s">
        <v>767</v>
      </c>
      <c r="B533" s="810" t="s">
        <v>770</v>
      </c>
      <c r="C533" s="804" t="s">
        <v>51</v>
      </c>
      <c r="D533" s="801" t="s">
        <v>31</v>
      </c>
      <c r="E533" s="779">
        <f t="shared" si="1012"/>
        <v>2276452.1917500007</v>
      </c>
      <c r="F533" s="779"/>
      <c r="G533" s="776">
        <f t="shared" ref="G533:J533" si="1015">G524</f>
        <v>12185.709220000001</v>
      </c>
      <c r="H533" s="776">
        <f t="shared" si="1015"/>
        <v>7632.2919999999995</v>
      </c>
      <c r="I533" s="776">
        <f t="shared" si="1015"/>
        <v>10809.634485</v>
      </c>
      <c r="J533" s="776">
        <f t="shared" si="1015"/>
        <v>24865.005438</v>
      </c>
      <c r="K533" s="776">
        <f t="shared" si="1003"/>
        <v>2331944.8328930004</v>
      </c>
      <c r="L533" s="776">
        <f t="shared" si="1004"/>
        <v>349791.72493395006</v>
      </c>
      <c r="M533" s="776">
        <f t="shared" si="1005"/>
        <v>2681736.5578269507</v>
      </c>
      <c r="N533" s="776">
        <f t="shared" si="1006"/>
        <v>2321135.1984080006</v>
      </c>
      <c r="O533" s="776">
        <f t="shared" si="1007"/>
        <v>348170.27976120007</v>
      </c>
      <c r="P533" s="776">
        <f t="shared" si="1008"/>
        <v>2669305.4781692009</v>
      </c>
      <c r="Q533" s="779">
        <f t="shared" si="1014"/>
        <v>64687.040000000001</v>
      </c>
    </row>
    <row r="534" spans="1:17" s="780" customFormat="1" ht="14">
      <c r="A534" s="771">
        <v>4</v>
      </c>
      <c r="B534" s="774" t="s">
        <v>288</v>
      </c>
      <c r="C534" s="771" t="s">
        <v>51</v>
      </c>
      <c r="D534" s="771" t="s">
        <v>31</v>
      </c>
      <c r="E534" s="779"/>
      <c r="F534" s="779"/>
      <c r="G534" s="779"/>
      <c r="H534" s="779"/>
      <c r="I534" s="779"/>
      <c r="J534" s="779"/>
      <c r="K534" s="779"/>
      <c r="L534" s="779"/>
      <c r="M534" s="779"/>
      <c r="N534" s="779"/>
      <c r="O534" s="779"/>
      <c r="P534" s="779"/>
      <c r="Q534" s="779"/>
    </row>
    <row r="535" spans="1:17" s="780" customFormat="1">
      <c r="A535" s="771">
        <v>4.0999999999999996</v>
      </c>
      <c r="B535" s="808" t="s">
        <v>771</v>
      </c>
      <c r="C535" s="804" t="s">
        <v>51</v>
      </c>
      <c r="D535" s="801" t="s">
        <v>31</v>
      </c>
      <c r="E535" s="779"/>
      <c r="F535" s="779"/>
      <c r="G535" s="779"/>
      <c r="H535" s="779"/>
      <c r="I535" s="779"/>
      <c r="J535" s="779"/>
      <c r="K535" s="779"/>
      <c r="L535" s="779"/>
      <c r="M535" s="779"/>
      <c r="N535" s="779"/>
      <c r="O535" s="779"/>
      <c r="P535" s="779"/>
      <c r="Q535" s="779"/>
    </row>
    <row r="536" spans="1:17" s="780" customFormat="1">
      <c r="A536" s="811" t="s">
        <v>767</v>
      </c>
      <c r="B536" s="810" t="s">
        <v>768</v>
      </c>
      <c r="C536" s="804" t="s">
        <v>51</v>
      </c>
      <c r="D536" s="801" t="s">
        <v>31</v>
      </c>
      <c r="E536" s="779">
        <f>NCong!M597</f>
        <v>395053.20029999991</v>
      </c>
      <c r="F536" s="779"/>
      <c r="G536" s="779">
        <f>G527</f>
        <v>15622.70412820513</v>
      </c>
      <c r="H536" s="779">
        <f t="shared" ref="H536:J536" si="1016">H527</f>
        <v>27173.82</v>
      </c>
      <c r="I536" s="779">
        <f t="shared" si="1016"/>
        <v>13858.50575</v>
      </c>
      <c r="J536" s="779">
        <f t="shared" si="1016"/>
        <v>31878.212100000001</v>
      </c>
      <c r="K536" s="776">
        <f t="shared" ref="K536:K538" si="1017">SUM(E536:J536)</f>
        <v>483586.44227820507</v>
      </c>
      <c r="L536" s="776">
        <f t="shared" ref="L536:L538" si="1018">K536*15%</f>
        <v>72537.96634173076</v>
      </c>
      <c r="M536" s="776">
        <f t="shared" ref="M536:M538" si="1019">K536+L536</f>
        <v>556124.40861993586</v>
      </c>
      <c r="N536" s="776">
        <f t="shared" ref="N536:N538" si="1020">K536-I536</f>
        <v>469727.93652820506</v>
      </c>
      <c r="O536" s="776">
        <f t="shared" ref="O536:O538" si="1021">$L$6*N536</f>
        <v>70459.190479230761</v>
      </c>
      <c r="P536" s="776">
        <f t="shared" ref="P536:P538" si="1022">N536+O536</f>
        <v>540187.12700743577</v>
      </c>
      <c r="Q536" s="779">
        <f>NCong!P597</f>
        <v>11003.086769230767</v>
      </c>
    </row>
    <row r="537" spans="1:17" s="780" customFormat="1">
      <c r="A537" s="811" t="s">
        <v>767</v>
      </c>
      <c r="B537" s="810" t="s">
        <v>769</v>
      </c>
      <c r="C537" s="804" t="s">
        <v>51</v>
      </c>
      <c r="D537" s="801" t="s">
        <v>31</v>
      </c>
      <c r="E537" s="779">
        <f>NCong!N597</f>
        <v>391841.64359999989</v>
      </c>
      <c r="F537" s="779"/>
      <c r="G537" s="779">
        <f t="shared" ref="G537:J538" si="1023">G528</f>
        <v>15622.70412820513</v>
      </c>
      <c r="H537" s="779">
        <f t="shared" si="1023"/>
        <v>27173.82</v>
      </c>
      <c r="I537" s="779">
        <f t="shared" si="1023"/>
        <v>13858.50575</v>
      </c>
      <c r="J537" s="779">
        <f t="shared" si="1023"/>
        <v>31878.212100000001</v>
      </c>
      <c r="K537" s="776">
        <f t="shared" si="1017"/>
        <v>480374.88557820505</v>
      </c>
      <c r="L537" s="776">
        <f t="shared" si="1018"/>
        <v>72056.232836730749</v>
      </c>
      <c r="M537" s="776">
        <f t="shared" si="1019"/>
        <v>552431.11841493577</v>
      </c>
      <c r="N537" s="776">
        <f t="shared" si="1020"/>
        <v>466516.37982820504</v>
      </c>
      <c r="O537" s="776">
        <f t="shared" si="1021"/>
        <v>69977.45697423075</v>
      </c>
      <c r="P537" s="776">
        <f t="shared" si="1022"/>
        <v>536493.83680243581</v>
      </c>
      <c r="Q537" s="779">
        <f>NCong!Q597</f>
        <v>10922.827384615382</v>
      </c>
    </row>
    <row r="538" spans="1:17" s="780" customFormat="1">
      <c r="A538" s="811" t="s">
        <v>767</v>
      </c>
      <c r="B538" s="810" t="s">
        <v>770</v>
      </c>
      <c r="C538" s="804" t="s">
        <v>51</v>
      </c>
      <c r="D538" s="801" t="s">
        <v>31</v>
      </c>
      <c r="E538" s="779">
        <f>NCong!O597</f>
        <v>490660.82504999998</v>
      </c>
      <c r="F538" s="779"/>
      <c r="G538" s="779">
        <f t="shared" si="1023"/>
        <v>20309.51536666667</v>
      </c>
      <c r="H538" s="779">
        <f t="shared" si="1023"/>
        <v>27173.82</v>
      </c>
      <c r="I538" s="779">
        <f t="shared" si="1023"/>
        <v>18016.057475000001</v>
      </c>
      <c r="J538" s="779">
        <f t="shared" si="1023"/>
        <v>41441.675730000003</v>
      </c>
      <c r="K538" s="776">
        <f t="shared" si="1017"/>
        <v>597601.89362166671</v>
      </c>
      <c r="L538" s="776">
        <f t="shared" si="1018"/>
        <v>89640.284043250009</v>
      </c>
      <c r="M538" s="776">
        <f t="shared" si="1019"/>
        <v>687242.17766491673</v>
      </c>
      <c r="N538" s="776">
        <f t="shared" si="1020"/>
        <v>579585.83614666667</v>
      </c>
      <c r="O538" s="776">
        <f t="shared" si="1021"/>
        <v>86937.875421999997</v>
      </c>
      <c r="P538" s="776">
        <f t="shared" si="1022"/>
        <v>666523.71156866662</v>
      </c>
      <c r="Q538" s="779">
        <f>NCong!R597</f>
        <v>13651.02369230769</v>
      </c>
    </row>
    <row r="539" spans="1:17" s="780" customFormat="1">
      <c r="A539" s="771">
        <v>4.2</v>
      </c>
      <c r="B539" s="808" t="s">
        <v>772</v>
      </c>
      <c r="C539" s="804" t="s">
        <v>51</v>
      </c>
      <c r="D539" s="801" t="s">
        <v>31</v>
      </c>
      <c r="E539" s="779"/>
      <c r="F539" s="779"/>
      <c r="G539" s="779"/>
      <c r="H539" s="779"/>
      <c r="I539" s="779"/>
      <c r="J539" s="779"/>
      <c r="K539" s="779"/>
      <c r="L539" s="779"/>
      <c r="M539" s="779"/>
      <c r="N539" s="779"/>
      <c r="O539" s="779"/>
      <c r="P539" s="779"/>
      <c r="Q539" s="779"/>
    </row>
    <row r="540" spans="1:17" s="780" customFormat="1">
      <c r="A540" s="811" t="s">
        <v>767</v>
      </c>
      <c r="B540" s="810" t="s">
        <v>768</v>
      </c>
      <c r="C540" s="804" t="s">
        <v>51</v>
      </c>
      <c r="D540" s="801" t="s">
        <v>31</v>
      </c>
      <c r="E540" s="779">
        <f>E536</f>
        <v>395053.20029999991</v>
      </c>
      <c r="F540" s="779"/>
      <c r="G540" s="779">
        <f>G531</f>
        <v>9373.6224769230776</v>
      </c>
      <c r="H540" s="779">
        <f t="shared" ref="H540:J540" si="1024">H531</f>
        <v>7632.2919999999995</v>
      </c>
      <c r="I540" s="779">
        <f t="shared" si="1024"/>
        <v>8315.1034500000005</v>
      </c>
      <c r="J540" s="779">
        <f t="shared" si="1024"/>
        <v>19126.92726</v>
      </c>
      <c r="K540" s="776">
        <f t="shared" ref="K540:K542" si="1025">SUM(E540:J540)</f>
        <v>439501.14548692305</v>
      </c>
      <c r="L540" s="776">
        <f t="shared" ref="L540:L542" si="1026">K540*15%</f>
        <v>65925.171823038458</v>
      </c>
      <c r="M540" s="776">
        <f t="shared" ref="M540:M542" si="1027">K540+L540</f>
        <v>505426.31730996154</v>
      </c>
      <c r="N540" s="776">
        <f t="shared" ref="N540:N542" si="1028">K540-I540</f>
        <v>431186.04203692306</v>
      </c>
      <c r="O540" s="776">
        <f t="shared" ref="O540:O542" si="1029">$L$6*N540</f>
        <v>64677.906305538454</v>
      </c>
      <c r="P540" s="776">
        <f t="shared" ref="P540:P542" si="1030">N540+O540</f>
        <v>495863.94834246149</v>
      </c>
      <c r="Q540" s="779">
        <f>Q536</f>
        <v>11003.086769230767</v>
      </c>
    </row>
    <row r="541" spans="1:17" s="780" customFormat="1">
      <c r="A541" s="811" t="s">
        <v>767</v>
      </c>
      <c r="B541" s="810" t="s">
        <v>769</v>
      </c>
      <c r="C541" s="804" t="s">
        <v>51</v>
      </c>
      <c r="D541" s="801" t="s">
        <v>31</v>
      </c>
      <c r="E541" s="779">
        <f t="shared" ref="E541:E542" si="1031">E537</f>
        <v>391841.64359999989</v>
      </c>
      <c r="F541" s="779"/>
      <c r="G541" s="779">
        <f t="shared" ref="G541:J542" si="1032">G532</f>
        <v>9373.6224769230776</v>
      </c>
      <c r="H541" s="779">
        <f t="shared" si="1032"/>
        <v>7632.2919999999995</v>
      </c>
      <c r="I541" s="779">
        <f t="shared" si="1032"/>
        <v>8315.1034500000005</v>
      </c>
      <c r="J541" s="779">
        <f t="shared" si="1032"/>
        <v>19126.92726</v>
      </c>
      <c r="K541" s="776">
        <f t="shared" si="1025"/>
        <v>436289.58878692304</v>
      </c>
      <c r="L541" s="776">
        <f t="shared" si="1026"/>
        <v>65443.438318038454</v>
      </c>
      <c r="M541" s="776">
        <f t="shared" si="1027"/>
        <v>501733.02710496151</v>
      </c>
      <c r="N541" s="776">
        <f t="shared" si="1028"/>
        <v>427974.48533692304</v>
      </c>
      <c r="O541" s="776">
        <f t="shared" si="1029"/>
        <v>64196.17280053845</v>
      </c>
      <c r="P541" s="776">
        <f t="shared" si="1030"/>
        <v>492170.65813746152</v>
      </c>
      <c r="Q541" s="779">
        <f t="shared" ref="Q541:Q542" si="1033">Q537</f>
        <v>10922.827384615382</v>
      </c>
    </row>
    <row r="542" spans="1:17" s="780" customFormat="1">
      <c r="A542" s="811" t="s">
        <v>767</v>
      </c>
      <c r="B542" s="810" t="s">
        <v>770</v>
      </c>
      <c r="C542" s="804" t="s">
        <v>51</v>
      </c>
      <c r="D542" s="801" t="s">
        <v>31</v>
      </c>
      <c r="E542" s="779">
        <f t="shared" si="1031"/>
        <v>490660.82504999998</v>
      </c>
      <c r="F542" s="779"/>
      <c r="G542" s="779">
        <f t="shared" si="1032"/>
        <v>12185.709220000001</v>
      </c>
      <c r="H542" s="779">
        <f t="shared" si="1032"/>
        <v>7632.2919999999995</v>
      </c>
      <c r="I542" s="779">
        <f t="shared" si="1032"/>
        <v>10809.634485</v>
      </c>
      <c r="J542" s="779">
        <f t="shared" si="1032"/>
        <v>24865.005438</v>
      </c>
      <c r="K542" s="776">
        <f t="shared" si="1025"/>
        <v>546153.46619299997</v>
      </c>
      <c r="L542" s="776">
        <f t="shared" si="1026"/>
        <v>81923.019928949987</v>
      </c>
      <c r="M542" s="776">
        <f t="shared" si="1027"/>
        <v>628076.48612194997</v>
      </c>
      <c r="N542" s="776">
        <f t="shared" si="1028"/>
        <v>535343.83170799993</v>
      </c>
      <c r="O542" s="776">
        <f t="shared" si="1029"/>
        <v>80301.574756199989</v>
      </c>
      <c r="P542" s="776">
        <f t="shared" si="1030"/>
        <v>615645.40646419988</v>
      </c>
      <c r="Q542" s="779">
        <f t="shared" si="1033"/>
        <v>13651.02369230769</v>
      </c>
    </row>
    <row r="543" spans="1:17" s="780" customFormat="1" ht="21">
      <c r="A543" s="771">
        <v>5</v>
      </c>
      <c r="B543" s="774" t="s">
        <v>289</v>
      </c>
      <c r="C543" s="771" t="s">
        <v>51</v>
      </c>
      <c r="D543" s="771" t="s">
        <v>31</v>
      </c>
      <c r="E543" s="779"/>
      <c r="F543" s="779"/>
      <c r="G543" s="779"/>
      <c r="H543" s="779"/>
      <c r="I543" s="779"/>
      <c r="J543" s="779"/>
      <c r="K543" s="779"/>
      <c r="L543" s="779"/>
      <c r="M543" s="779"/>
      <c r="N543" s="779"/>
      <c r="O543" s="779"/>
      <c r="P543" s="779"/>
      <c r="Q543" s="779"/>
    </row>
    <row r="544" spans="1:17" s="780" customFormat="1">
      <c r="A544" s="771">
        <v>5.0999999999999996</v>
      </c>
      <c r="B544" s="808" t="s">
        <v>771</v>
      </c>
      <c r="C544" s="804" t="s">
        <v>51</v>
      </c>
      <c r="D544" s="801" t="s">
        <v>31</v>
      </c>
      <c r="E544" s="779"/>
      <c r="F544" s="779"/>
      <c r="G544" s="779"/>
      <c r="H544" s="779"/>
      <c r="I544" s="779"/>
      <c r="J544" s="779"/>
      <c r="K544" s="779"/>
      <c r="L544" s="779"/>
      <c r="M544" s="779"/>
      <c r="N544" s="779"/>
      <c r="O544" s="779"/>
      <c r="P544" s="779"/>
      <c r="Q544" s="779"/>
    </row>
    <row r="545" spans="1:17" s="780" customFormat="1">
      <c r="A545" s="811" t="s">
        <v>767</v>
      </c>
      <c r="B545" s="810" t="s">
        <v>768</v>
      </c>
      <c r="C545" s="804" t="s">
        <v>51</v>
      </c>
      <c r="D545" s="801" t="s">
        <v>31</v>
      </c>
      <c r="E545" s="779">
        <f>NCong!M598</f>
        <v>1783818.5739000002</v>
      </c>
      <c r="F545" s="779"/>
      <c r="G545" s="779">
        <f>G536</f>
        <v>15622.70412820513</v>
      </c>
      <c r="H545" s="779">
        <f t="shared" ref="H545:J545" si="1034">H536</f>
        <v>27173.82</v>
      </c>
      <c r="I545" s="779">
        <f t="shared" si="1034"/>
        <v>13858.50575</v>
      </c>
      <c r="J545" s="779">
        <f t="shared" si="1034"/>
        <v>31878.212100000001</v>
      </c>
      <c r="K545" s="776">
        <f t="shared" ref="K545:K547" si="1035">SUM(E545:J545)</f>
        <v>1872351.8158782052</v>
      </c>
      <c r="L545" s="776">
        <f t="shared" ref="L545:L547" si="1036">K545*15%</f>
        <v>280852.77238173079</v>
      </c>
      <c r="M545" s="776">
        <f t="shared" ref="M545:M547" si="1037">K545+L545</f>
        <v>2153204.5882599358</v>
      </c>
      <c r="N545" s="776">
        <f t="shared" ref="N545:N547" si="1038">K545-I545</f>
        <v>1858493.3101282052</v>
      </c>
      <c r="O545" s="776">
        <f t="shared" ref="O545:O547" si="1039">$L$6*N545</f>
        <v>278773.99651923077</v>
      </c>
      <c r="P545" s="776">
        <f t="shared" ref="P545:P547" si="1040">N545+O545</f>
        <v>2137267.3066474358</v>
      </c>
      <c r="Q545" s="779">
        <f>NCong!P598</f>
        <v>50627.401846153851</v>
      </c>
    </row>
    <row r="546" spans="1:17" s="780" customFormat="1">
      <c r="A546" s="811" t="s">
        <v>767</v>
      </c>
      <c r="B546" s="810" t="s">
        <v>769</v>
      </c>
      <c r="C546" s="804" t="s">
        <v>51</v>
      </c>
      <c r="D546" s="801" t="s">
        <v>31</v>
      </c>
      <c r="E546" s="779">
        <f>NCong!N598</f>
        <v>1774230.7720500003</v>
      </c>
      <c r="F546" s="779"/>
      <c r="G546" s="779">
        <f t="shared" ref="G546:J546" si="1041">G537</f>
        <v>15622.70412820513</v>
      </c>
      <c r="H546" s="779">
        <f t="shared" si="1041"/>
        <v>27173.82</v>
      </c>
      <c r="I546" s="779">
        <f t="shared" si="1041"/>
        <v>13858.50575</v>
      </c>
      <c r="J546" s="779">
        <f t="shared" si="1041"/>
        <v>31878.212100000001</v>
      </c>
      <c r="K546" s="776">
        <f t="shared" si="1035"/>
        <v>1862764.0140282053</v>
      </c>
      <c r="L546" s="776">
        <f t="shared" si="1036"/>
        <v>279414.60210423078</v>
      </c>
      <c r="M546" s="776">
        <f t="shared" si="1037"/>
        <v>2142178.6161324363</v>
      </c>
      <c r="N546" s="776">
        <f t="shared" si="1038"/>
        <v>1848905.5082782053</v>
      </c>
      <c r="O546" s="776">
        <f t="shared" si="1039"/>
        <v>277335.82624173077</v>
      </c>
      <c r="P546" s="776">
        <f t="shared" si="1040"/>
        <v>2126241.3345199362</v>
      </c>
      <c r="Q546" s="779">
        <f>NCong!Q598</f>
        <v>50375.044076923077</v>
      </c>
    </row>
    <row r="547" spans="1:17" s="780" customFormat="1">
      <c r="A547" s="811" t="s">
        <v>767</v>
      </c>
      <c r="B547" s="810" t="s">
        <v>770</v>
      </c>
      <c r="C547" s="804" t="s">
        <v>51</v>
      </c>
      <c r="D547" s="801" t="s">
        <v>31</v>
      </c>
      <c r="E547" s="779">
        <f>NCong!O598</f>
        <v>2293431.4771500002</v>
      </c>
      <c r="F547" s="779"/>
      <c r="G547" s="779">
        <f t="shared" ref="G547:J547" si="1042">G538</f>
        <v>20309.51536666667</v>
      </c>
      <c r="H547" s="779">
        <f t="shared" si="1042"/>
        <v>27173.82</v>
      </c>
      <c r="I547" s="779">
        <f t="shared" si="1042"/>
        <v>18016.057475000001</v>
      </c>
      <c r="J547" s="779">
        <f t="shared" si="1042"/>
        <v>41441.675730000003</v>
      </c>
      <c r="K547" s="776">
        <f t="shared" si="1035"/>
        <v>2400372.5457216664</v>
      </c>
      <c r="L547" s="776">
        <f t="shared" si="1036"/>
        <v>360055.88185824995</v>
      </c>
      <c r="M547" s="776">
        <f t="shared" si="1037"/>
        <v>2760428.4275799165</v>
      </c>
      <c r="N547" s="776">
        <f t="shared" si="1038"/>
        <v>2382356.4882466663</v>
      </c>
      <c r="O547" s="776">
        <f t="shared" si="1039"/>
        <v>357353.47323699994</v>
      </c>
      <c r="P547" s="776">
        <f t="shared" si="1040"/>
        <v>2739709.9614836662</v>
      </c>
      <c r="Q547" s="779">
        <f>NCong!R598</f>
        <v>65091.801076923075</v>
      </c>
    </row>
    <row r="548" spans="1:17" s="780" customFormat="1">
      <c r="A548" s="771">
        <v>5.2</v>
      </c>
      <c r="B548" s="808" t="s">
        <v>772</v>
      </c>
      <c r="C548" s="804" t="s">
        <v>51</v>
      </c>
      <c r="D548" s="801" t="s">
        <v>31</v>
      </c>
      <c r="E548" s="779"/>
      <c r="F548" s="779"/>
      <c r="G548" s="779">
        <f t="shared" ref="G548:J548" si="1043">G539</f>
        <v>0</v>
      </c>
      <c r="H548" s="779">
        <f t="shared" si="1043"/>
        <v>0</v>
      </c>
      <c r="I548" s="779">
        <f t="shared" si="1043"/>
        <v>0</v>
      </c>
      <c r="J548" s="779">
        <f t="shared" si="1043"/>
        <v>0</v>
      </c>
      <c r="K548" s="779"/>
      <c r="L548" s="779"/>
      <c r="M548" s="779"/>
      <c r="N548" s="779"/>
      <c r="O548" s="779"/>
      <c r="P548" s="779"/>
      <c r="Q548" s="779"/>
    </row>
    <row r="549" spans="1:17" s="780" customFormat="1">
      <c r="A549" s="811" t="s">
        <v>767</v>
      </c>
      <c r="B549" s="810" t="s">
        <v>768</v>
      </c>
      <c r="C549" s="804" t="s">
        <v>51</v>
      </c>
      <c r="D549" s="801" t="s">
        <v>31</v>
      </c>
      <c r="E549" s="779">
        <f>E545</f>
        <v>1783818.5739000002</v>
      </c>
      <c r="F549" s="779"/>
      <c r="G549" s="779">
        <f t="shared" ref="G549:J549" si="1044">G540</f>
        <v>9373.6224769230776</v>
      </c>
      <c r="H549" s="779">
        <f t="shared" si="1044"/>
        <v>7632.2919999999995</v>
      </c>
      <c r="I549" s="779">
        <f t="shared" si="1044"/>
        <v>8315.1034500000005</v>
      </c>
      <c r="J549" s="779">
        <f t="shared" si="1044"/>
        <v>19126.92726</v>
      </c>
      <c r="K549" s="776">
        <f t="shared" ref="K549:K551" si="1045">SUM(E549:J549)</f>
        <v>1828266.5190869232</v>
      </c>
      <c r="L549" s="776">
        <f t="shared" ref="L549:L551" si="1046">K549*15%</f>
        <v>274239.97786303848</v>
      </c>
      <c r="M549" s="776">
        <f t="shared" ref="M549:M551" si="1047">K549+L549</f>
        <v>2102506.4969499619</v>
      </c>
      <c r="N549" s="776">
        <f t="shared" ref="N549:N551" si="1048">K549-I549</f>
        <v>1819951.4156369232</v>
      </c>
      <c r="O549" s="776">
        <f t="shared" ref="O549:O551" si="1049">$L$6*N549</f>
        <v>272992.71234553849</v>
      </c>
      <c r="P549" s="776">
        <f t="shared" ref="P549:P551" si="1050">N549+O549</f>
        <v>2092944.1279824616</v>
      </c>
      <c r="Q549" s="779">
        <f>Q545</f>
        <v>50627.401846153851</v>
      </c>
    </row>
    <row r="550" spans="1:17" s="780" customFormat="1">
      <c r="A550" s="811" t="s">
        <v>767</v>
      </c>
      <c r="B550" s="810" t="s">
        <v>769</v>
      </c>
      <c r="C550" s="804" t="s">
        <v>51</v>
      </c>
      <c r="D550" s="801" t="s">
        <v>31</v>
      </c>
      <c r="E550" s="779">
        <f t="shared" ref="E550:E551" si="1051">E546</f>
        <v>1774230.7720500003</v>
      </c>
      <c r="F550" s="779"/>
      <c r="G550" s="779">
        <f t="shared" ref="G550:J550" si="1052">G541</f>
        <v>9373.6224769230776</v>
      </c>
      <c r="H550" s="779">
        <f t="shared" si="1052"/>
        <v>7632.2919999999995</v>
      </c>
      <c r="I550" s="779">
        <f t="shared" si="1052"/>
        <v>8315.1034500000005</v>
      </c>
      <c r="J550" s="779">
        <f t="shared" si="1052"/>
        <v>19126.92726</v>
      </c>
      <c r="K550" s="776">
        <f t="shared" si="1045"/>
        <v>1818678.7172369233</v>
      </c>
      <c r="L550" s="776">
        <f t="shared" si="1046"/>
        <v>272801.80758553848</v>
      </c>
      <c r="M550" s="776">
        <f t="shared" si="1047"/>
        <v>2091480.5248224619</v>
      </c>
      <c r="N550" s="776">
        <f t="shared" si="1048"/>
        <v>1810363.6137869232</v>
      </c>
      <c r="O550" s="776">
        <f t="shared" si="1049"/>
        <v>271554.54206803849</v>
      </c>
      <c r="P550" s="776">
        <f t="shared" si="1050"/>
        <v>2081918.1558549618</v>
      </c>
      <c r="Q550" s="779">
        <f t="shared" ref="Q550:Q551" si="1053">Q546</f>
        <v>50375.044076923077</v>
      </c>
    </row>
    <row r="551" spans="1:17" s="780" customFormat="1">
      <c r="A551" s="811" t="s">
        <v>767</v>
      </c>
      <c r="B551" s="810" t="s">
        <v>770</v>
      </c>
      <c r="C551" s="804" t="s">
        <v>51</v>
      </c>
      <c r="D551" s="801" t="s">
        <v>31</v>
      </c>
      <c r="E551" s="779">
        <f t="shared" si="1051"/>
        <v>2293431.4771500002</v>
      </c>
      <c r="F551" s="779"/>
      <c r="G551" s="779">
        <f t="shared" ref="G551:J551" si="1054">G542</f>
        <v>12185.709220000001</v>
      </c>
      <c r="H551" s="779">
        <f t="shared" si="1054"/>
        <v>7632.2919999999995</v>
      </c>
      <c r="I551" s="779">
        <f t="shared" si="1054"/>
        <v>10809.634485</v>
      </c>
      <c r="J551" s="779">
        <f t="shared" si="1054"/>
        <v>24865.005438</v>
      </c>
      <c r="K551" s="776">
        <f t="shared" si="1045"/>
        <v>2348924.1182929999</v>
      </c>
      <c r="L551" s="776">
        <f t="shared" si="1046"/>
        <v>352338.61774394999</v>
      </c>
      <c r="M551" s="776">
        <f t="shared" si="1047"/>
        <v>2701262.7360369498</v>
      </c>
      <c r="N551" s="776">
        <f t="shared" si="1048"/>
        <v>2338114.4838080001</v>
      </c>
      <c r="O551" s="776">
        <f t="shared" si="1049"/>
        <v>350717.1725712</v>
      </c>
      <c r="P551" s="776">
        <f t="shared" si="1050"/>
        <v>2688831.6563792001</v>
      </c>
      <c r="Q551" s="779">
        <f t="shared" si="1053"/>
        <v>65091.801076923075</v>
      </c>
    </row>
    <row r="552" spans="1:17" s="780" customFormat="1">
      <c r="A552" s="771">
        <v>6</v>
      </c>
      <c r="B552" s="774" t="s">
        <v>253</v>
      </c>
      <c r="C552" s="771" t="s">
        <v>51</v>
      </c>
      <c r="D552" s="771" t="s">
        <v>31</v>
      </c>
      <c r="E552" s="779"/>
      <c r="F552" s="779"/>
      <c r="G552" s="779"/>
      <c r="H552" s="779"/>
      <c r="I552" s="779"/>
      <c r="J552" s="779"/>
      <c r="K552" s="779"/>
      <c r="L552" s="779"/>
      <c r="M552" s="779"/>
      <c r="N552" s="779"/>
      <c r="O552" s="779"/>
      <c r="P552" s="779"/>
      <c r="Q552" s="779"/>
    </row>
    <row r="553" spans="1:17" s="780" customFormat="1">
      <c r="A553" s="771">
        <v>6.1</v>
      </c>
      <c r="B553" s="808" t="s">
        <v>771</v>
      </c>
      <c r="C553" s="804" t="s">
        <v>51</v>
      </c>
      <c r="D553" s="801" t="s">
        <v>31</v>
      </c>
      <c r="E553" s="779"/>
      <c r="F553" s="779"/>
      <c r="G553" s="779"/>
      <c r="H553" s="779"/>
      <c r="I553" s="779"/>
      <c r="J553" s="779"/>
      <c r="K553" s="779"/>
      <c r="L553" s="779"/>
      <c r="M553" s="779"/>
      <c r="N553" s="779"/>
      <c r="O553" s="779"/>
      <c r="P553" s="779"/>
      <c r="Q553" s="779"/>
    </row>
    <row r="554" spans="1:17" s="780" customFormat="1">
      <c r="A554" s="771"/>
      <c r="B554" s="810" t="s">
        <v>768</v>
      </c>
      <c r="C554" s="804" t="s">
        <v>51</v>
      </c>
      <c r="D554" s="801" t="s">
        <v>31</v>
      </c>
      <c r="E554" s="779">
        <f>E558</f>
        <v>1769735.0253000001</v>
      </c>
      <c r="F554" s="779"/>
      <c r="G554" s="779">
        <f>G545</f>
        <v>15622.70412820513</v>
      </c>
      <c r="H554" s="779">
        <f t="shared" ref="H554:J554" si="1055">H545</f>
        <v>27173.82</v>
      </c>
      <c r="I554" s="779">
        <f t="shared" si="1055"/>
        <v>13858.50575</v>
      </c>
      <c r="J554" s="779">
        <f t="shared" si="1055"/>
        <v>31878.212100000001</v>
      </c>
      <c r="K554" s="776">
        <f t="shared" ref="K554:K556" si="1056">SUM(E554:J554)</f>
        <v>1858268.2672782051</v>
      </c>
      <c r="L554" s="776">
        <f t="shared" ref="L554:L556" si="1057">K554*15%</f>
        <v>278740.24009173078</v>
      </c>
      <c r="M554" s="776">
        <f t="shared" ref="M554:M556" si="1058">K554+L554</f>
        <v>2137008.507369936</v>
      </c>
      <c r="N554" s="776">
        <f t="shared" ref="N554:N556" si="1059">K554-I554</f>
        <v>1844409.7615282051</v>
      </c>
      <c r="O554" s="776">
        <f t="shared" ref="O554:O556" si="1060">$L$6*N554</f>
        <v>276661.46422923077</v>
      </c>
      <c r="P554" s="776">
        <f t="shared" ref="P554:P556" si="1061">N554+O554</f>
        <v>2121071.2257574359</v>
      </c>
      <c r="Q554" s="779">
        <f>NCong!P599</f>
        <v>50247.279076923078</v>
      </c>
    </row>
    <row r="555" spans="1:17" s="780" customFormat="1">
      <c r="A555" s="771"/>
      <c r="B555" s="810" t="s">
        <v>769</v>
      </c>
      <c r="C555" s="804" t="s">
        <v>51</v>
      </c>
      <c r="D555" s="801" t="s">
        <v>31</v>
      </c>
      <c r="E555" s="779">
        <f t="shared" ref="E555:E556" si="1062">E559</f>
        <v>1766523.4686000003</v>
      </c>
      <c r="F555" s="779"/>
      <c r="G555" s="779">
        <f t="shared" ref="G555:J555" si="1063">G546</f>
        <v>15622.70412820513</v>
      </c>
      <c r="H555" s="779">
        <f t="shared" si="1063"/>
        <v>27173.82</v>
      </c>
      <c r="I555" s="779">
        <f t="shared" si="1063"/>
        <v>13858.50575</v>
      </c>
      <c r="J555" s="779">
        <f t="shared" si="1063"/>
        <v>31878.212100000001</v>
      </c>
      <c r="K555" s="776">
        <f t="shared" si="1056"/>
        <v>1855056.7105782053</v>
      </c>
      <c r="L555" s="776">
        <f t="shared" si="1057"/>
        <v>278258.50658673077</v>
      </c>
      <c r="M555" s="776">
        <f t="shared" si="1058"/>
        <v>2133315.217164936</v>
      </c>
      <c r="N555" s="776">
        <f t="shared" si="1059"/>
        <v>1841198.2048282053</v>
      </c>
      <c r="O555" s="776">
        <f t="shared" si="1060"/>
        <v>276179.73072423076</v>
      </c>
      <c r="P555" s="776">
        <f t="shared" si="1061"/>
        <v>2117377.9355524359</v>
      </c>
      <c r="Q555" s="779">
        <f>NCong!Q599</f>
        <v>50167.019692307687</v>
      </c>
    </row>
    <row r="556" spans="1:17" s="780" customFormat="1">
      <c r="A556" s="771"/>
      <c r="B556" s="810" t="s">
        <v>770</v>
      </c>
      <c r="C556" s="804" t="s">
        <v>51</v>
      </c>
      <c r="D556" s="801" t="s">
        <v>31</v>
      </c>
      <c r="E556" s="779">
        <f t="shared" si="1062"/>
        <v>2274178.0000500004</v>
      </c>
      <c r="F556" s="779"/>
      <c r="G556" s="779">
        <f t="shared" ref="G556:J556" si="1064">G547</f>
        <v>20309.51536666667</v>
      </c>
      <c r="H556" s="779">
        <f t="shared" si="1064"/>
        <v>27173.82</v>
      </c>
      <c r="I556" s="779">
        <f t="shared" si="1064"/>
        <v>18016.057475000001</v>
      </c>
      <c r="J556" s="779">
        <f t="shared" si="1064"/>
        <v>41441.675730000003</v>
      </c>
      <c r="K556" s="776">
        <f t="shared" si="1056"/>
        <v>2381119.0686216666</v>
      </c>
      <c r="L556" s="776">
        <f t="shared" si="1057"/>
        <v>357167.86029325001</v>
      </c>
      <c r="M556" s="776">
        <f t="shared" si="1058"/>
        <v>2738286.9289149167</v>
      </c>
      <c r="N556" s="776">
        <f t="shared" si="1059"/>
        <v>2363103.0111466665</v>
      </c>
      <c r="O556" s="776">
        <f t="shared" si="1060"/>
        <v>354465.45167199994</v>
      </c>
      <c r="P556" s="776">
        <f t="shared" si="1061"/>
        <v>2717568.4628186664</v>
      </c>
      <c r="Q556" s="779">
        <f>NCong!R599</f>
        <v>64572.139076923078</v>
      </c>
    </row>
    <row r="557" spans="1:17" s="780" customFormat="1">
      <c r="A557" s="771">
        <v>6.2</v>
      </c>
      <c r="B557" s="808" t="s">
        <v>772</v>
      </c>
      <c r="C557" s="802"/>
      <c r="D557" s="771"/>
      <c r="E557" s="779"/>
      <c r="F557" s="779"/>
      <c r="G557" s="779"/>
      <c r="H557" s="779"/>
      <c r="I557" s="779"/>
      <c r="J557" s="779"/>
      <c r="K557" s="779"/>
      <c r="L557" s="779"/>
      <c r="M557" s="779"/>
      <c r="N557" s="779"/>
      <c r="O557" s="779"/>
      <c r="P557" s="779"/>
      <c r="Q557" s="779"/>
    </row>
    <row r="558" spans="1:17" s="780" customFormat="1">
      <c r="A558" s="811" t="s">
        <v>767</v>
      </c>
      <c r="B558" s="810" t="s">
        <v>768</v>
      </c>
      <c r="C558" s="804" t="s">
        <v>51</v>
      </c>
      <c r="D558" s="801" t="s">
        <v>31</v>
      </c>
      <c r="E558" s="779">
        <f>NCong!M599</f>
        <v>1769735.0253000001</v>
      </c>
      <c r="F558" s="779"/>
      <c r="G558" s="779">
        <f>G549</f>
        <v>9373.6224769230776</v>
      </c>
      <c r="H558" s="779">
        <f t="shared" ref="H558:J558" si="1065">H549</f>
        <v>7632.2919999999995</v>
      </c>
      <c r="I558" s="779">
        <f t="shared" si="1065"/>
        <v>8315.1034500000005</v>
      </c>
      <c r="J558" s="779">
        <f t="shared" si="1065"/>
        <v>19126.92726</v>
      </c>
      <c r="K558" s="776">
        <f t="shared" ref="K558:K560" si="1066">SUM(E558:J558)</f>
        <v>1814182.9704869231</v>
      </c>
      <c r="L558" s="776">
        <f t="shared" ref="L558:L560" si="1067">K558*15%</f>
        <v>272127.44557303848</v>
      </c>
      <c r="M558" s="776">
        <f t="shared" ref="M558:M560" si="1068">K558+L558</f>
        <v>2086310.4160599615</v>
      </c>
      <c r="N558" s="776">
        <f t="shared" ref="N558:N560" si="1069">K558-I558</f>
        <v>1805867.8670369231</v>
      </c>
      <c r="O558" s="776">
        <f t="shared" ref="O558:O560" si="1070">$L$6*N558</f>
        <v>270880.18005553843</v>
      </c>
      <c r="P558" s="776">
        <f t="shared" ref="P558:P560" si="1071">N558+O558</f>
        <v>2076748.0470924615</v>
      </c>
      <c r="Q558" s="779">
        <f>Q554</f>
        <v>50247.279076923078</v>
      </c>
    </row>
    <row r="559" spans="1:17" s="780" customFormat="1">
      <c r="A559" s="811" t="s">
        <v>767</v>
      </c>
      <c r="B559" s="810" t="s">
        <v>769</v>
      </c>
      <c r="C559" s="804" t="s">
        <v>51</v>
      </c>
      <c r="D559" s="801" t="s">
        <v>31</v>
      </c>
      <c r="E559" s="779">
        <f>NCong!N599</f>
        <v>1766523.4686000003</v>
      </c>
      <c r="F559" s="779"/>
      <c r="G559" s="779">
        <f t="shared" ref="G559:J559" si="1072">G550</f>
        <v>9373.6224769230776</v>
      </c>
      <c r="H559" s="779">
        <f t="shared" si="1072"/>
        <v>7632.2919999999995</v>
      </c>
      <c r="I559" s="779">
        <f t="shared" si="1072"/>
        <v>8315.1034500000005</v>
      </c>
      <c r="J559" s="779">
        <f t="shared" si="1072"/>
        <v>19126.92726</v>
      </c>
      <c r="K559" s="776">
        <f t="shared" si="1066"/>
        <v>1810971.4137869233</v>
      </c>
      <c r="L559" s="776">
        <f t="shared" si="1067"/>
        <v>271645.71206803847</v>
      </c>
      <c r="M559" s="776">
        <f t="shared" si="1068"/>
        <v>2082617.1258549618</v>
      </c>
      <c r="N559" s="776">
        <f t="shared" si="1069"/>
        <v>1802656.3103369232</v>
      </c>
      <c r="O559" s="776">
        <f t="shared" si="1070"/>
        <v>270398.44655053847</v>
      </c>
      <c r="P559" s="776">
        <f t="shared" si="1071"/>
        <v>2073054.7568874618</v>
      </c>
      <c r="Q559" s="779">
        <f t="shared" ref="Q559:Q560" si="1073">Q555</f>
        <v>50167.019692307687</v>
      </c>
    </row>
    <row r="560" spans="1:17" s="780" customFormat="1">
      <c r="A560" s="811" t="s">
        <v>767</v>
      </c>
      <c r="B560" s="810" t="s">
        <v>770</v>
      </c>
      <c r="C560" s="804" t="s">
        <v>51</v>
      </c>
      <c r="D560" s="801" t="s">
        <v>31</v>
      </c>
      <c r="E560" s="779">
        <f>NCong!O599</f>
        <v>2274178.0000500004</v>
      </c>
      <c r="F560" s="779"/>
      <c r="G560" s="779">
        <f t="shared" ref="G560:J560" si="1074">G551</f>
        <v>12185.709220000001</v>
      </c>
      <c r="H560" s="779">
        <f t="shared" si="1074"/>
        <v>7632.2919999999995</v>
      </c>
      <c r="I560" s="779">
        <f t="shared" si="1074"/>
        <v>10809.634485</v>
      </c>
      <c r="J560" s="779">
        <f t="shared" si="1074"/>
        <v>24865.005438</v>
      </c>
      <c r="K560" s="776">
        <f t="shared" si="1066"/>
        <v>2329670.6411930001</v>
      </c>
      <c r="L560" s="776">
        <f t="shared" si="1067"/>
        <v>349450.59617894999</v>
      </c>
      <c r="M560" s="776">
        <f t="shared" si="1068"/>
        <v>2679121.2373719499</v>
      </c>
      <c r="N560" s="776">
        <f t="shared" si="1069"/>
        <v>2318861.0067080003</v>
      </c>
      <c r="O560" s="776">
        <f t="shared" si="1070"/>
        <v>347829.15100620006</v>
      </c>
      <c r="P560" s="776">
        <f t="shared" si="1071"/>
        <v>2666690.1577142002</v>
      </c>
      <c r="Q560" s="779">
        <f t="shared" si="1073"/>
        <v>64572.139076923078</v>
      </c>
    </row>
    <row r="561" spans="1:17" s="780" customFormat="1">
      <c r="A561" s="771">
        <v>7</v>
      </c>
      <c r="B561" s="774" t="s">
        <v>255</v>
      </c>
      <c r="C561" s="771" t="s">
        <v>51</v>
      </c>
      <c r="D561" s="771" t="s">
        <v>31</v>
      </c>
      <c r="E561" s="779"/>
      <c r="F561" s="779"/>
      <c r="G561" s="779"/>
      <c r="H561" s="779"/>
      <c r="I561" s="779"/>
      <c r="J561" s="779"/>
      <c r="K561" s="779"/>
      <c r="L561" s="779"/>
      <c r="M561" s="779"/>
      <c r="N561" s="779"/>
      <c r="O561" s="779"/>
      <c r="P561" s="779"/>
      <c r="Q561" s="779"/>
    </row>
    <row r="562" spans="1:17" s="780" customFormat="1">
      <c r="A562" s="771">
        <v>7.1</v>
      </c>
      <c r="B562" s="808" t="s">
        <v>771</v>
      </c>
      <c r="C562" s="804" t="s">
        <v>51</v>
      </c>
      <c r="D562" s="801" t="s">
        <v>31</v>
      </c>
      <c r="E562" s="779"/>
      <c r="F562" s="779"/>
      <c r="G562" s="779"/>
      <c r="H562" s="779"/>
      <c r="I562" s="779"/>
      <c r="J562" s="779"/>
      <c r="K562" s="779"/>
      <c r="L562" s="779"/>
      <c r="M562" s="779"/>
      <c r="N562" s="779"/>
      <c r="O562" s="779"/>
      <c r="P562" s="779"/>
      <c r="Q562" s="779"/>
    </row>
    <row r="563" spans="1:17" s="780" customFormat="1">
      <c r="A563" s="811" t="s">
        <v>767</v>
      </c>
      <c r="B563" s="810" t="s">
        <v>768</v>
      </c>
      <c r="C563" s="804" t="s">
        <v>51</v>
      </c>
      <c r="D563" s="801" t="s">
        <v>31</v>
      </c>
      <c r="E563" s="779">
        <f>NCong!M600</f>
        <v>1779694.1679000002</v>
      </c>
      <c r="F563" s="779"/>
      <c r="G563" s="779">
        <f>G545</f>
        <v>15622.70412820513</v>
      </c>
      <c r="H563" s="779">
        <f t="shared" ref="H563:J563" si="1075">H545</f>
        <v>27173.82</v>
      </c>
      <c r="I563" s="779">
        <f t="shared" si="1075"/>
        <v>13858.50575</v>
      </c>
      <c r="J563" s="779">
        <f t="shared" si="1075"/>
        <v>31878.212100000001</v>
      </c>
      <c r="K563" s="776">
        <f t="shared" ref="K563:K565" si="1076">SUM(E563:J563)</f>
        <v>1868227.4098782053</v>
      </c>
      <c r="L563" s="776">
        <f t="shared" ref="L563:L565" si="1077">K563*15%</f>
        <v>280234.11148173077</v>
      </c>
      <c r="M563" s="776">
        <f t="shared" ref="M563:M565" si="1078">K563+L563</f>
        <v>2148461.5213599359</v>
      </c>
      <c r="N563" s="776">
        <f t="shared" ref="N563:N565" si="1079">K563-I563</f>
        <v>1854368.9041282053</v>
      </c>
      <c r="O563" s="776">
        <f t="shared" ref="O563:O565" si="1080">$L$6*N563</f>
        <v>278155.33561923075</v>
      </c>
      <c r="P563" s="776">
        <f t="shared" ref="P563:P565" si="1081">N563+O563</f>
        <v>2132524.2397474358</v>
      </c>
      <c r="Q563" s="779">
        <f>NCong!P600</f>
        <v>50516.081846153851</v>
      </c>
    </row>
    <row r="564" spans="1:17" s="780" customFormat="1">
      <c r="A564" s="811" t="s">
        <v>767</v>
      </c>
      <c r="B564" s="810" t="s">
        <v>769</v>
      </c>
      <c r="C564" s="804" t="s">
        <v>51</v>
      </c>
      <c r="D564" s="801" t="s">
        <v>31</v>
      </c>
      <c r="E564" s="779">
        <f>NCong!N600</f>
        <v>1771840.4913000003</v>
      </c>
      <c r="F564" s="779"/>
      <c r="G564" s="779">
        <f t="shared" ref="G564:J564" si="1082">G546</f>
        <v>15622.70412820513</v>
      </c>
      <c r="H564" s="779">
        <f t="shared" si="1082"/>
        <v>27173.82</v>
      </c>
      <c r="I564" s="779">
        <f t="shared" si="1082"/>
        <v>13858.50575</v>
      </c>
      <c r="J564" s="779">
        <f t="shared" si="1082"/>
        <v>31878.212100000001</v>
      </c>
      <c r="K564" s="776">
        <f t="shared" si="1076"/>
        <v>1860373.7332782054</v>
      </c>
      <c r="L564" s="776">
        <f t="shared" si="1077"/>
        <v>279056.05999173078</v>
      </c>
      <c r="M564" s="776">
        <f t="shared" si="1078"/>
        <v>2139429.793269936</v>
      </c>
      <c r="N564" s="776">
        <f t="shared" si="1079"/>
        <v>1846515.2275282054</v>
      </c>
      <c r="O564" s="776">
        <f t="shared" si="1080"/>
        <v>276977.28412923077</v>
      </c>
      <c r="P564" s="776">
        <f t="shared" si="1081"/>
        <v>2123492.5116574364</v>
      </c>
      <c r="Q564" s="779">
        <f>NCong!Q600</f>
        <v>50310.529076923078</v>
      </c>
    </row>
    <row r="565" spans="1:17" s="780" customFormat="1">
      <c r="A565" s="811" t="s">
        <v>767</v>
      </c>
      <c r="B565" s="810" t="s">
        <v>770</v>
      </c>
      <c r="C565" s="804" t="s">
        <v>51</v>
      </c>
      <c r="D565" s="801" t="s">
        <v>31</v>
      </c>
      <c r="E565" s="779">
        <f>NCong!O600</f>
        <v>2287901.0236500003</v>
      </c>
      <c r="F565" s="779"/>
      <c r="G565" s="779">
        <f t="shared" ref="G565:J565" si="1083">G547</f>
        <v>20309.51536666667</v>
      </c>
      <c r="H565" s="779">
        <f t="shared" si="1083"/>
        <v>27173.82</v>
      </c>
      <c r="I565" s="779">
        <f t="shared" si="1083"/>
        <v>18016.057475000001</v>
      </c>
      <c r="J565" s="779">
        <f t="shared" si="1083"/>
        <v>41441.675730000003</v>
      </c>
      <c r="K565" s="776">
        <f t="shared" si="1076"/>
        <v>2394842.0922216666</v>
      </c>
      <c r="L565" s="776">
        <f t="shared" si="1077"/>
        <v>359226.31383324997</v>
      </c>
      <c r="M565" s="776">
        <f t="shared" si="1078"/>
        <v>2754068.4060549168</v>
      </c>
      <c r="N565" s="776">
        <f t="shared" si="1079"/>
        <v>2376826.0347466664</v>
      </c>
      <c r="O565" s="776">
        <f t="shared" si="1080"/>
        <v>356523.90521199995</v>
      </c>
      <c r="P565" s="776">
        <f t="shared" si="1081"/>
        <v>2733349.9399586665</v>
      </c>
      <c r="Q565" s="779">
        <f>NCong!R600</f>
        <v>64942.531076923078</v>
      </c>
    </row>
    <row r="566" spans="1:17" s="780" customFormat="1">
      <c r="A566" s="771">
        <v>7.2</v>
      </c>
      <c r="B566" s="808" t="s">
        <v>772</v>
      </c>
      <c r="C566" s="804" t="s">
        <v>51</v>
      </c>
      <c r="D566" s="801" t="s">
        <v>31</v>
      </c>
      <c r="E566" s="779"/>
      <c r="F566" s="779"/>
      <c r="G566" s="779"/>
      <c r="H566" s="779"/>
      <c r="I566" s="779"/>
      <c r="J566" s="779"/>
      <c r="K566" s="779"/>
      <c r="L566" s="779"/>
      <c r="M566" s="779"/>
      <c r="N566" s="779"/>
      <c r="O566" s="779"/>
      <c r="P566" s="779"/>
      <c r="Q566" s="779"/>
    </row>
    <row r="567" spans="1:17" s="780" customFormat="1">
      <c r="A567" s="811" t="s">
        <v>767</v>
      </c>
      <c r="B567" s="810" t="s">
        <v>768</v>
      </c>
      <c r="C567" s="804" t="s">
        <v>51</v>
      </c>
      <c r="D567" s="801" t="s">
        <v>31</v>
      </c>
      <c r="E567" s="779">
        <f>E563</f>
        <v>1779694.1679000002</v>
      </c>
      <c r="F567" s="779"/>
      <c r="G567" s="779">
        <f t="shared" ref="G567:J567" si="1084">G549</f>
        <v>9373.6224769230776</v>
      </c>
      <c r="H567" s="779">
        <f t="shared" si="1084"/>
        <v>7632.2919999999995</v>
      </c>
      <c r="I567" s="779">
        <f t="shared" si="1084"/>
        <v>8315.1034500000005</v>
      </c>
      <c r="J567" s="779">
        <f t="shared" si="1084"/>
        <v>19126.92726</v>
      </c>
      <c r="K567" s="776">
        <f t="shared" ref="K567:K569" si="1085">SUM(E567:J567)</f>
        <v>1824142.1130869233</v>
      </c>
      <c r="L567" s="776">
        <f t="shared" ref="L567:L569" si="1086">K567*15%</f>
        <v>273621.31696303847</v>
      </c>
      <c r="M567" s="776">
        <f t="shared" ref="M567:M569" si="1087">K567+L567</f>
        <v>2097763.4300499619</v>
      </c>
      <c r="N567" s="776">
        <f t="shared" ref="N567:N569" si="1088">K567-I567</f>
        <v>1815827.0096369232</v>
      </c>
      <c r="O567" s="776">
        <f t="shared" ref="O567:O569" si="1089">$L$6*N567</f>
        <v>272374.05144553847</v>
      </c>
      <c r="P567" s="776">
        <f t="shared" ref="P567:P569" si="1090">N567+O567</f>
        <v>2088201.0610824616</v>
      </c>
      <c r="Q567" s="779">
        <f>Q563</f>
        <v>50516.081846153851</v>
      </c>
    </row>
    <row r="568" spans="1:17" s="780" customFormat="1">
      <c r="A568" s="811" t="s">
        <v>767</v>
      </c>
      <c r="B568" s="810" t="s">
        <v>769</v>
      </c>
      <c r="C568" s="804" t="s">
        <v>51</v>
      </c>
      <c r="D568" s="801" t="s">
        <v>31</v>
      </c>
      <c r="E568" s="779">
        <f t="shared" ref="E568:E569" si="1091">E564</f>
        <v>1771840.4913000003</v>
      </c>
      <c r="F568" s="779"/>
      <c r="G568" s="779">
        <f t="shared" ref="G568:J568" si="1092">G550</f>
        <v>9373.6224769230776</v>
      </c>
      <c r="H568" s="779">
        <f t="shared" si="1092"/>
        <v>7632.2919999999995</v>
      </c>
      <c r="I568" s="779">
        <f t="shared" si="1092"/>
        <v>8315.1034500000005</v>
      </c>
      <c r="J568" s="779">
        <f t="shared" si="1092"/>
        <v>19126.92726</v>
      </c>
      <c r="K568" s="776">
        <f t="shared" si="1085"/>
        <v>1816288.4364869234</v>
      </c>
      <c r="L568" s="776">
        <f t="shared" si="1086"/>
        <v>272443.26547303848</v>
      </c>
      <c r="M568" s="776">
        <f t="shared" si="1087"/>
        <v>2088731.7019599618</v>
      </c>
      <c r="N568" s="776">
        <f t="shared" si="1088"/>
        <v>1807973.3330369233</v>
      </c>
      <c r="O568" s="776">
        <f t="shared" si="1089"/>
        <v>271195.99995553849</v>
      </c>
      <c r="P568" s="776">
        <f t="shared" si="1090"/>
        <v>2079169.3329924617</v>
      </c>
      <c r="Q568" s="779">
        <f t="shared" ref="Q568:Q569" si="1093">Q564</f>
        <v>50310.529076923078</v>
      </c>
    </row>
    <row r="569" spans="1:17" s="780" customFormat="1">
      <c r="A569" s="811" t="s">
        <v>767</v>
      </c>
      <c r="B569" s="810" t="s">
        <v>770</v>
      </c>
      <c r="C569" s="804" t="s">
        <v>51</v>
      </c>
      <c r="D569" s="801" t="s">
        <v>31</v>
      </c>
      <c r="E569" s="779">
        <f t="shared" si="1091"/>
        <v>2287901.0236500003</v>
      </c>
      <c r="F569" s="779"/>
      <c r="G569" s="779">
        <f t="shared" ref="G569:J569" si="1094">G551</f>
        <v>12185.709220000001</v>
      </c>
      <c r="H569" s="779">
        <f t="shared" si="1094"/>
        <v>7632.2919999999995</v>
      </c>
      <c r="I569" s="779">
        <f t="shared" si="1094"/>
        <v>10809.634485</v>
      </c>
      <c r="J569" s="779">
        <f t="shared" si="1094"/>
        <v>24865.005438</v>
      </c>
      <c r="K569" s="776">
        <f t="shared" si="1085"/>
        <v>2343393.6647930001</v>
      </c>
      <c r="L569" s="776">
        <f t="shared" si="1086"/>
        <v>351509.04971895</v>
      </c>
      <c r="M569" s="776">
        <f t="shared" si="1087"/>
        <v>2694902.71451195</v>
      </c>
      <c r="N569" s="776">
        <f t="shared" si="1088"/>
        <v>2332584.0303080003</v>
      </c>
      <c r="O569" s="776">
        <f t="shared" si="1089"/>
        <v>349887.60454620002</v>
      </c>
      <c r="P569" s="776">
        <f t="shared" si="1090"/>
        <v>2682471.6348542003</v>
      </c>
      <c r="Q569" s="779">
        <f t="shared" si="1093"/>
        <v>64942.531076923078</v>
      </c>
    </row>
    <row r="570" spans="1:17" s="780" customFormat="1">
      <c r="A570" s="771">
        <v>8</v>
      </c>
      <c r="B570" s="774" t="s">
        <v>258</v>
      </c>
      <c r="C570" s="771" t="s">
        <v>51</v>
      </c>
      <c r="D570" s="771" t="s">
        <v>31</v>
      </c>
      <c r="E570" s="779"/>
      <c r="F570" s="779"/>
      <c r="G570" s="779"/>
      <c r="H570" s="779"/>
      <c r="I570" s="779"/>
      <c r="J570" s="779"/>
      <c r="K570" s="779"/>
      <c r="L570" s="779"/>
      <c r="M570" s="779"/>
      <c r="N570" s="779"/>
      <c r="O570" s="779"/>
      <c r="P570" s="779"/>
      <c r="Q570" s="779"/>
    </row>
    <row r="571" spans="1:17" s="780" customFormat="1">
      <c r="A571" s="771">
        <v>8.1</v>
      </c>
      <c r="B571" s="808" t="s">
        <v>771</v>
      </c>
      <c r="C571" s="804" t="s">
        <v>51</v>
      </c>
      <c r="D571" s="801" t="s">
        <v>31</v>
      </c>
      <c r="E571" s="779"/>
      <c r="F571" s="779"/>
      <c r="G571" s="779"/>
      <c r="H571" s="779"/>
      <c r="I571" s="779"/>
      <c r="J571" s="779"/>
      <c r="K571" s="779"/>
      <c r="L571" s="779"/>
      <c r="M571" s="779"/>
      <c r="N571" s="779"/>
      <c r="O571" s="779"/>
      <c r="P571" s="779"/>
      <c r="Q571" s="779"/>
    </row>
    <row r="572" spans="1:17" s="780" customFormat="1">
      <c r="A572" s="811" t="s">
        <v>767</v>
      </c>
      <c r="B572" s="810" t="s">
        <v>768</v>
      </c>
      <c r="C572" s="804" t="s">
        <v>51</v>
      </c>
      <c r="D572" s="801" t="s">
        <v>31</v>
      </c>
      <c r="E572" s="779">
        <f>NCong!M601</f>
        <v>1782486.0735000002</v>
      </c>
      <c r="F572" s="779"/>
      <c r="G572" s="779">
        <f>G563</f>
        <v>15622.70412820513</v>
      </c>
      <c r="H572" s="779">
        <f t="shared" ref="H572:J572" si="1095">H563</f>
        <v>27173.82</v>
      </c>
      <c r="I572" s="779">
        <f t="shared" si="1095"/>
        <v>13858.50575</v>
      </c>
      <c r="J572" s="779">
        <f t="shared" si="1095"/>
        <v>31878.212100000001</v>
      </c>
      <c r="K572" s="776">
        <f t="shared" ref="K572:K574" si="1096">SUM(E572:J572)</f>
        <v>1871019.3154782052</v>
      </c>
      <c r="L572" s="776">
        <f t="shared" ref="L572:L574" si="1097">K572*15%</f>
        <v>280652.89732173079</v>
      </c>
      <c r="M572" s="776">
        <f t="shared" ref="M572:M574" si="1098">K572+L572</f>
        <v>2151672.2127999361</v>
      </c>
      <c r="N572" s="776">
        <f t="shared" ref="N572:N574" si="1099">K572-I572</f>
        <v>1857160.8097282052</v>
      </c>
      <c r="O572" s="776">
        <f t="shared" ref="O572:O574" si="1100">$L$6*N572</f>
        <v>278574.12145923078</v>
      </c>
      <c r="P572" s="776">
        <f t="shared" ref="P572:P574" si="1101">N572+O572</f>
        <v>2135734.931187436</v>
      </c>
      <c r="Q572" s="779">
        <f>NCong!P601</f>
        <v>50591.43692307693</v>
      </c>
    </row>
    <row r="573" spans="1:17" s="780" customFormat="1">
      <c r="A573" s="811" t="s">
        <v>767</v>
      </c>
      <c r="B573" s="810" t="s">
        <v>769</v>
      </c>
      <c r="C573" s="804" t="s">
        <v>51</v>
      </c>
      <c r="D573" s="801" t="s">
        <v>31</v>
      </c>
      <c r="E573" s="779">
        <f>NCong!N601</f>
        <v>1773458.5275000003</v>
      </c>
      <c r="F573" s="779"/>
      <c r="G573" s="779">
        <f t="shared" ref="G573:J573" si="1102">G564</f>
        <v>15622.70412820513</v>
      </c>
      <c r="H573" s="779">
        <f t="shared" si="1102"/>
        <v>27173.82</v>
      </c>
      <c r="I573" s="779">
        <f t="shared" si="1102"/>
        <v>13858.50575</v>
      </c>
      <c r="J573" s="779">
        <f t="shared" si="1102"/>
        <v>31878.212100000001</v>
      </c>
      <c r="K573" s="776">
        <f t="shared" si="1096"/>
        <v>1861991.7694782054</v>
      </c>
      <c r="L573" s="776">
        <f t="shared" si="1097"/>
        <v>279298.76542173082</v>
      </c>
      <c r="M573" s="776">
        <f t="shared" si="1098"/>
        <v>2141290.5348999361</v>
      </c>
      <c r="N573" s="776">
        <f t="shared" si="1099"/>
        <v>1848133.2637282053</v>
      </c>
      <c r="O573" s="776">
        <f t="shared" si="1100"/>
        <v>277219.9895592308</v>
      </c>
      <c r="P573" s="776">
        <f t="shared" si="1101"/>
        <v>2125353.253287436</v>
      </c>
      <c r="Q573" s="779">
        <f>NCong!Q601</f>
        <v>50354.200769230767</v>
      </c>
    </row>
    <row r="574" spans="1:17" s="780" customFormat="1">
      <c r="A574" s="811" t="s">
        <v>767</v>
      </c>
      <c r="B574" s="810" t="s">
        <v>770</v>
      </c>
      <c r="C574" s="804" t="s">
        <v>51</v>
      </c>
      <c r="D574" s="801" t="s">
        <v>31</v>
      </c>
      <c r="E574" s="779">
        <f>NCong!O601</f>
        <v>2291644.7152500004</v>
      </c>
      <c r="F574" s="779"/>
      <c r="G574" s="779">
        <f t="shared" ref="G574:J574" si="1103">G565</f>
        <v>20309.51536666667</v>
      </c>
      <c r="H574" s="779">
        <f t="shared" si="1103"/>
        <v>27173.82</v>
      </c>
      <c r="I574" s="779">
        <f t="shared" si="1103"/>
        <v>18016.057475000001</v>
      </c>
      <c r="J574" s="779">
        <f t="shared" si="1103"/>
        <v>41441.675730000003</v>
      </c>
      <c r="K574" s="776">
        <f t="shared" si="1096"/>
        <v>2398585.7838216666</v>
      </c>
      <c r="L574" s="776">
        <f t="shared" si="1097"/>
        <v>359787.86757324997</v>
      </c>
      <c r="M574" s="776">
        <f t="shared" si="1098"/>
        <v>2758373.6513949167</v>
      </c>
      <c r="N574" s="776">
        <f t="shared" si="1099"/>
        <v>2380569.7263466665</v>
      </c>
      <c r="O574" s="776">
        <f t="shared" si="1100"/>
        <v>357085.45895199996</v>
      </c>
      <c r="P574" s="776">
        <f t="shared" si="1101"/>
        <v>2737655.1852986664</v>
      </c>
      <c r="Q574" s="779">
        <f>NCong!R601</f>
        <v>65043.575384615389</v>
      </c>
    </row>
    <row r="575" spans="1:17" s="780" customFormat="1">
      <c r="A575" s="771">
        <v>8.1999999999999993</v>
      </c>
      <c r="B575" s="808" t="s">
        <v>772</v>
      </c>
      <c r="C575" s="804" t="s">
        <v>51</v>
      </c>
      <c r="D575" s="801" t="s">
        <v>31</v>
      </c>
      <c r="E575" s="779"/>
      <c r="F575" s="779"/>
      <c r="G575" s="779"/>
      <c r="H575" s="779"/>
      <c r="I575" s="779"/>
      <c r="J575" s="779"/>
      <c r="K575" s="779"/>
      <c r="L575" s="779"/>
      <c r="M575" s="779"/>
      <c r="N575" s="779"/>
      <c r="O575" s="779"/>
      <c r="P575" s="779"/>
      <c r="Q575" s="779"/>
    </row>
    <row r="576" spans="1:17" s="780" customFormat="1">
      <c r="A576" s="811" t="s">
        <v>767</v>
      </c>
      <c r="B576" s="810" t="s">
        <v>768</v>
      </c>
      <c r="C576" s="804" t="s">
        <v>51</v>
      </c>
      <c r="D576" s="801" t="s">
        <v>31</v>
      </c>
      <c r="E576" s="779">
        <f>E572</f>
        <v>1782486.0735000002</v>
      </c>
      <c r="F576" s="779"/>
      <c r="G576" s="779">
        <f>G567</f>
        <v>9373.6224769230776</v>
      </c>
      <c r="H576" s="779">
        <f t="shared" ref="H576:J576" si="1104">H567</f>
        <v>7632.2919999999995</v>
      </c>
      <c r="I576" s="779">
        <f t="shared" si="1104"/>
        <v>8315.1034500000005</v>
      </c>
      <c r="J576" s="779">
        <f t="shared" si="1104"/>
        <v>19126.92726</v>
      </c>
      <c r="K576" s="776">
        <f t="shared" ref="K576:K578" si="1105">SUM(E576:J576)</f>
        <v>1826934.0186869232</v>
      </c>
      <c r="L576" s="776">
        <f t="shared" ref="L576:L578" si="1106">K576*15%</f>
        <v>274040.10280303849</v>
      </c>
      <c r="M576" s="776">
        <f t="shared" ref="M576:M578" si="1107">K576+L576</f>
        <v>2100974.1214899616</v>
      </c>
      <c r="N576" s="776">
        <f t="shared" ref="N576:N578" si="1108">K576-I576</f>
        <v>1818618.9152369231</v>
      </c>
      <c r="O576" s="776">
        <f t="shared" ref="O576:O578" si="1109">$L$6*N576</f>
        <v>272792.83728553844</v>
      </c>
      <c r="P576" s="776">
        <f t="shared" ref="P576:P578" si="1110">N576+O576</f>
        <v>2091411.7525224616</v>
      </c>
      <c r="Q576" s="779">
        <f>Q572</f>
        <v>50591.43692307693</v>
      </c>
    </row>
    <row r="577" spans="1:17" s="780" customFormat="1">
      <c r="A577" s="811" t="s">
        <v>767</v>
      </c>
      <c r="B577" s="810" t="s">
        <v>769</v>
      </c>
      <c r="C577" s="804" t="s">
        <v>51</v>
      </c>
      <c r="D577" s="801" t="s">
        <v>31</v>
      </c>
      <c r="E577" s="779">
        <f t="shared" ref="E577:E578" si="1111">E573</f>
        <v>1773458.5275000003</v>
      </c>
      <c r="F577" s="779"/>
      <c r="G577" s="779">
        <f t="shared" ref="G577:J577" si="1112">G568</f>
        <v>9373.6224769230776</v>
      </c>
      <c r="H577" s="779">
        <f t="shared" si="1112"/>
        <v>7632.2919999999995</v>
      </c>
      <c r="I577" s="779">
        <f t="shared" si="1112"/>
        <v>8315.1034500000005</v>
      </c>
      <c r="J577" s="779">
        <f t="shared" si="1112"/>
        <v>19126.92726</v>
      </c>
      <c r="K577" s="776">
        <f t="shared" si="1105"/>
        <v>1817906.4726869233</v>
      </c>
      <c r="L577" s="776">
        <f t="shared" si="1106"/>
        <v>272685.97090303851</v>
      </c>
      <c r="M577" s="776">
        <f t="shared" si="1107"/>
        <v>2090592.4435899619</v>
      </c>
      <c r="N577" s="776">
        <f t="shared" si="1108"/>
        <v>1809591.3692369233</v>
      </c>
      <c r="O577" s="776">
        <f t="shared" si="1109"/>
        <v>271438.70538553846</v>
      </c>
      <c r="P577" s="776">
        <f t="shared" si="1110"/>
        <v>2081030.0746224618</v>
      </c>
      <c r="Q577" s="779">
        <f t="shared" ref="Q577:Q578" si="1113">Q573</f>
        <v>50354.200769230767</v>
      </c>
    </row>
    <row r="578" spans="1:17" s="780" customFormat="1">
      <c r="A578" s="811" t="s">
        <v>767</v>
      </c>
      <c r="B578" s="810" t="s">
        <v>770</v>
      </c>
      <c r="C578" s="804" t="s">
        <v>51</v>
      </c>
      <c r="D578" s="801" t="s">
        <v>31</v>
      </c>
      <c r="E578" s="779">
        <f t="shared" si="1111"/>
        <v>2291644.7152500004</v>
      </c>
      <c r="F578" s="779"/>
      <c r="G578" s="779">
        <f t="shared" ref="G578:J578" si="1114">G569</f>
        <v>12185.709220000001</v>
      </c>
      <c r="H578" s="779">
        <f t="shared" si="1114"/>
        <v>7632.2919999999995</v>
      </c>
      <c r="I578" s="779">
        <f t="shared" si="1114"/>
        <v>10809.634485</v>
      </c>
      <c r="J578" s="779">
        <f t="shared" si="1114"/>
        <v>24865.005438</v>
      </c>
      <c r="K578" s="776">
        <f t="shared" si="1105"/>
        <v>2347137.3563930001</v>
      </c>
      <c r="L578" s="776">
        <f t="shared" si="1106"/>
        <v>352070.60345895001</v>
      </c>
      <c r="M578" s="776">
        <f t="shared" si="1107"/>
        <v>2699207.9598519499</v>
      </c>
      <c r="N578" s="776">
        <f t="shared" si="1108"/>
        <v>2336327.7219080003</v>
      </c>
      <c r="O578" s="776">
        <f t="shared" si="1109"/>
        <v>350449.15828620002</v>
      </c>
      <c r="P578" s="776">
        <f t="shared" si="1110"/>
        <v>2686776.8801942002</v>
      </c>
      <c r="Q578" s="779">
        <f t="shared" si="1113"/>
        <v>65043.575384615389</v>
      </c>
    </row>
    <row r="579" spans="1:17" s="780" customFormat="1">
      <c r="A579" s="771">
        <v>9</v>
      </c>
      <c r="B579" s="774" t="s">
        <v>259</v>
      </c>
      <c r="C579" s="771" t="s">
        <v>51</v>
      </c>
      <c r="D579" s="771" t="s">
        <v>31</v>
      </c>
      <c r="E579" s="779"/>
      <c r="F579" s="779"/>
      <c r="G579" s="779"/>
      <c r="H579" s="779"/>
      <c r="I579" s="779"/>
      <c r="J579" s="779"/>
      <c r="K579" s="779"/>
      <c r="L579" s="779"/>
      <c r="M579" s="779"/>
      <c r="N579" s="779"/>
      <c r="O579" s="779"/>
      <c r="P579" s="779"/>
      <c r="Q579" s="779"/>
    </row>
    <row r="580" spans="1:17" s="780" customFormat="1">
      <c r="A580" s="771">
        <v>9.1</v>
      </c>
      <c r="B580" s="808" t="s">
        <v>771</v>
      </c>
      <c r="C580" s="804" t="s">
        <v>51</v>
      </c>
      <c r="D580" s="801" t="s">
        <v>31</v>
      </c>
      <c r="E580" s="779"/>
      <c r="F580" s="779"/>
      <c r="G580" s="779"/>
      <c r="H580" s="779"/>
      <c r="I580" s="779"/>
      <c r="J580" s="779"/>
      <c r="K580" s="779"/>
      <c r="L580" s="779"/>
      <c r="M580" s="779"/>
      <c r="N580" s="779"/>
      <c r="O580" s="779"/>
      <c r="P580" s="779"/>
      <c r="Q580" s="779"/>
    </row>
    <row r="581" spans="1:17" s="780" customFormat="1">
      <c r="A581" s="811" t="s">
        <v>767</v>
      </c>
      <c r="B581" s="810" t="s">
        <v>768</v>
      </c>
      <c r="C581" s="804" t="s">
        <v>51</v>
      </c>
      <c r="D581" s="801" t="s">
        <v>31</v>
      </c>
      <c r="E581" s="779">
        <f>NCong!M602</f>
        <v>1781090.1207000001</v>
      </c>
      <c r="F581" s="779"/>
      <c r="G581" s="779">
        <f>G572</f>
        <v>15622.70412820513</v>
      </c>
      <c r="H581" s="779">
        <f t="shared" ref="H581:J581" si="1115">H572</f>
        <v>27173.82</v>
      </c>
      <c r="I581" s="779">
        <f t="shared" si="1115"/>
        <v>13858.50575</v>
      </c>
      <c r="J581" s="779">
        <f t="shared" si="1115"/>
        <v>31878.212100000001</v>
      </c>
      <c r="K581" s="776">
        <f t="shared" ref="K581:K583" si="1116">SUM(E581:J581)</f>
        <v>1869623.3626782051</v>
      </c>
      <c r="L581" s="776">
        <f t="shared" ref="L581:L583" si="1117">K581*15%</f>
        <v>280443.50440173078</v>
      </c>
      <c r="M581" s="776">
        <f t="shared" ref="M581:M583" si="1118">K581+L581</f>
        <v>2150066.867079936</v>
      </c>
      <c r="N581" s="776">
        <f t="shared" ref="N581:N583" si="1119">K581-I581</f>
        <v>1855764.8569282051</v>
      </c>
      <c r="O581" s="776">
        <f t="shared" ref="O581:O583" si="1120">$L$6*N581</f>
        <v>278364.72853923077</v>
      </c>
      <c r="P581" s="776">
        <f t="shared" ref="P581:P583" si="1121">N581+O581</f>
        <v>2134129.5854674359</v>
      </c>
      <c r="Q581" s="779">
        <f>NCong!P602</f>
        <v>50553.75938461539</v>
      </c>
    </row>
    <row r="582" spans="1:17" s="780" customFormat="1">
      <c r="A582" s="811" t="s">
        <v>767</v>
      </c>
      <c r="B582" s="810" t="s">
        <v>769</v>
      </c>
      <c r="C582" s="804" t="s">
        <v>51</v>
      </c>
      <c r="D582" s="801" t="s">
        <v>31</v>
      </c>
      <c r="E582" s="779">
        <f>NCong!N602</f>
        <v>1772649.5094000003</v>
      </c>
      <c r="F582" s="779"/>
      <c r="G582" s="779">
        <f t="shared" ref="G582:J582" si="1122">G573</f>
        <v>15622.70412820513</v>
      </c>
      <c r="H582" s="779">
        <f t="shared" si="1122"/>
        <v>27173.82</v>
      </c>
      <c r="I582" s="779">
        <f t="shared" si="1122"/>
        <v>13858.50575</v>
      </c>
      <c r="J582" s="779">
        <f t="shared" si="1122"/>
        <v>31878.212100000001</v>
      </c>
      <c r="K582" s="776">
        <f t="shared" si="1116"/>
        <v>1861182.7513782054</v>
      </c>
      <c r="L582" s="776">
        <f t="shared" si="1117"/>
        <v>279177.41270673077</v>
      </c>
      <c r="M582" s="776">
        <f t="shared" si="1118"/>
        <v>2140360.164084936</v>
      </c>
      <c r="N582" s="776">
        <f t="shared" si="1119"/>
        <v>1847324.2456282054</v>
      </c>
      <c r="O582" s="776">
        <f t="shared" si="1120"/>
        <v>277098.63684423082</v>
      </c>
      <c r="P582" s="776">
        <f t="shared" si="1121"/>
        <v>2124422.8824724359</v>
      </c>
      <c r="Q582" s="779">
        <f>NCong!Q602</f>
        <v>50332.364923076922</v>
      </c>
    </row>
    <row r="583" spans="1:17" s="780" customFormat="1">
      <c r="A583" s="811" t="s">
        <v>767</v>
      </c>
      <c r="B583" s="810" t="s">
        <v>770</v>
      </c>
      <c r="C583" s="804" t="s">
        <v>51</v>
      </c>
      <c r="D583" s="801" t="s">
        <v>31</v>
      </c>
      <c r="E583" s="779">
        <f>NCong!O602</f>
        <v>2289772.8694500001</v>
      </c>
      <c r="F583" s="779"/>
      <c r="G583" s="779">
        <f t="shared" ref="G583:J583" si="1123">G574</f>
        <v>20309.51536666667</v>
      </c>
      <c r="H583" s="779">
        <f t="shared" si="1123"/>
        <v>27173.82</v>
      </c>
      <c r="I583" s="779">
        <f t="shared" si="1123"/>
        <v>18016.057475000001</v>
      </c>
      <c r="J583" s="779">
        <f t="shared" si="1123"/>
        <v>41441.675730000003</v>
      </c>
      <c r="K583" s="776">
        <f t="shared" si="1116"/>
        <v>2396713.9380216664</v>
      </c>
      <c r="L583" s="776">
        <f t="shared" si="1117"/>
        <v>359507.09070324997</v>
      </c>
      <c r="M583" s="776">
        <f t="shared" si="1118"/>
        <v>2756221.0287249163</v>
      </c>
      <c r="N583" s="776">
        <f t="shared" si="1119"/>
        <v>2378697.8805466662</v>
      </c>
      <c r="O583" s="776">
        <f t="shared" si="1120"/>
        <v>356804.6820819999</v>
      </c>
      <c r="P583" s="776">
        <f t="shared" si="1121"/>
        <v>2735502.5626286659</v>
      </c>
      <c r="Q583" s="779">
        <f>NCong!R602</f>
        <v>64993.053230769234</v>
      </c>
    </row>
    <row r="584" spans="1:17" s="780" customFormat="1">
      <c r="A584" s="771">
        <v>9.1999999999999993</v>
      </c>
      <c r="B584" s="808" t="s">
        <v>772</v>
      </c>
      <c r="C584" s="804" t="s">
        <v>51</v>
      </c>
      <c r="D584" s="801" t="s">
        <v>31</v>
      </c>
      <c r="E584" s="779"/>
      <c r="F584" s="779"/>
      <c r="G584" s="779"/>
      <c r="H584" s="779"/>
      <c r="I584" s="779"/>
      <c r="J584" s="779"/>
      <c r="K584" s="779"/>
      <c r="L584" s="779"/>
      <c r="M584" s="779"/>
      <c r="N584" s="779"/>
      <c r="O584" s="779"/>
      <c r="P584" s="779"/>
      <c r="Q584" s="779"/>
    </row>
    <row r="585" spans="1:17" s="780" customFormat="1">
      <c r="A585" s="811" t="s">
        <v>767</v>
      </c>
      <c r="B585" s="810" t="s">
        <v>768</v>
      </c>
      <c r="C585" s="804" t="s">
        <v>51</v>
      </c>
      <c r="D585" s="801" t="s">
        <v>31</v>
      </c>
      <c r="E585" s="779">
        <f>E581</f>
        <v>1781090.1207000001</v>
      </c>
      <c r="F585" s="779"/>
      <c r="G585" s="779">
        <f t="shared" ref="G585:J585" si="1124">G576</f>
        <v>9373.6224769230776</v>
      </c>
      <c r="H585" s="779">
        <f t="shared" si="1124"/>
        <v>7632.2919999999995</v>
      </c>
      <c r="I585" s="779">
        <f t="shared" si="1124"/>
        <v>8315.1034500000005</v>
      </c>
      <c r="J585" s="779">
        <f t="shared" si="1124"/>
        <v>19126.92726</v>
      </c>
      <c r="K585" s="776">
        <f t="shared" ref="K585:K587" si="1125">SUM(E585:J585)</f>
        <v>1825538.0658869231</v>
      </c>
      <c r="L585" s="776">
        <f t="shared" ref="L585:L587" si="1126">K585*15%</f>
        <v>273830.70988303848</v>
      </c>
      <c r="M585" s="776">
        <f t="shared" ref="M585:M587" si="1127">K585+L585</f>
        <v>2099368.7757699615</v>
      </c>
      <c r="N585" s="776">
        <f t="shared" ref="N585:N587" si="1128">K585-I585</f>
        <v>1817222.9624369231</v>
      </c>
      <c r="O585" s="776">
        <f t="shared" ref="O585:O587" si="1129">$L$6*N585</f>
        <v>272583.44436553842</v>
      </c>
      <c r="P585" s="776">
        <f t="shared" ref="P585:P587" si="1130">N585+O585</f>
        <v>2089806.4068024615</v>
      </c>
      <c r="Q585" s="779">
        <f>Q581</f>
        <v>50553.75938461539</v>
      </c>
    </row>
    <row r="586" spans="1:17" s="780" customFormat="1">
      <c r="A586" s="811" t="s">
        <v>767</v>
      </c>
      <c r="B586" s="810" t="s">
        <v>769</v>
      </c>
      <c r="C586" s="804" t="s">
        <v>51</v>
      </c>
      <c r="D586" s="801" t="s">
        <v>31</v>
      </c>
      <c r="E586" s="779">
        <f t="shared" ref="E586:E587" si="1131">E582</f>
        <v>1772649.5094000003</v>
      </c>
      <c r="F586" s="779"/>
      <c r="G586" s="779">
        <f t="shared" ref="G586:J586" si="1132">G577</f>
        <v>9373.6224769230776</v>
      </c>
      <c r="H586" s="779">
        <f t="shared" si="1132"/>
        <v>7632.2919999999995</v>
      </c>
      <c r="I586" s="779">
        <f t="shared" si="1132"/>
        <v>8315.1034500000005</v>
      </c>
      <c r="J586" s="779">
        <f t="shared" si="1132"/>
        <v>19126.92726</v>
      </c>
      <c r="K586" s="776">
        <f t="shared" si="1125"/>
        <v>1817097.4545869234</v>
      </c>
      <c r="L586" s="776">
        <f t="shared" si="1126"/>
        <v>272564.61818803847</v>
      </c>
      <c r="M586" s="776">
        <f t="shared" si="1127"/>
        <v>2089662.0727749618</v>
      </c>
      <c r="N586" s="776">
        <f t="shared" si="1128"/>
        <v>1808782.3511369233</v>
      </c>
      <c r="O586" s="776">
        <f t="shared" si="1129"/>
        <v>271317.35267053847</v>
      </c>
      <c r="P586" s="776">
        <f t="shared" si="1130"/>
        <v>2080099.7038074618</v>
      </c>
      <c r="Q586" s="779">
        <f t="shared" ref="Q586:Q587" si="1133">Q582</f>
        <v>50332.364923076922</v>
      </c>
    </row>
    <row r="587" spans="1:17" s="780" customFormat="1">
      <c r="A587" s="811" t="s">
        <v>767</v>
      </c>
      <c r="B587" s="810" t="s">
        <v>770</v>
      </c>
      <c r="C587" s="804" t="s">
        <v>51</v>
      </c>
      <c r="D587" s="801" t="s">
        <v>31</v>
      </c>
      <c r="E587" s="779">
        <f t="shared" si="1131"/>
        <v>2289772.8694500001</v>
      </c>
      <c r="F587" s="779"/>
      <c r="G587" s="779">
        <f t="shared" ref="G587:J587" si="1134">G578</f>
        <v>12185.709220000001</v>
      </c>
      <c r="H587" s="779">
        <f t="shared" si="1134"/>
        <v>7632.2919999999995</v>
      </c>
      <c r="I587" s="779">
        <f t="shared" si="1134"/>
        <v>10809.634485</v>
      </c>
      <c r="J587" s="779">
        <f t="shared" si="1134"/>
        <v>24865.005438</v>
      </c>
      <c r="K587" s="776">
        <f t="shared" si="1125"/>
        <v>2345265.5105929999</v>
      </c>
      <c r="L587" s="776">
        <f t="shared" si="1126"/>
        <v>351789.82658894995</v>
      </c>
      <c r="M587" s="776">
        <f t="shared" si="1127"/>
        <v>2697055.33718195</v>
      </c>
      <c r="N587" s="776">
        <f t="shared" si="1128"/>
        <v>2334455.8761080001</v>
      </c>
      <c r="O587" s="776">
        <f t="shared" si="1129"/>
        <v>350168.38141620002</v>
      </c>
      <c r="P587" s="776">
        <f t="shared" si="1130"/>
        <v>2684624.2575242002</v>
      </c>
      <c r="Q587" s="779">
        <f t="shared" si="1133"/>
        <v>64993.053230769234</v>
      </c>
    </row>
    <row r="588" spans="1:17" s="780" customFormat="1" ht="14">
      <c r="A588" s="771">
        <v>10</v>
      </c>
      <c r="B588" s="774" t="s">
        <v>260</v>
      </c>
      <c r="C588" s="771" t="s">
        <v>51</v>
      </c>
      <c r="D588" s="771" t="s">
        <v>31</v>
      </c>
      <c r="E588" s="779"/>
      <c r="F588" s="779"/>
      <c r="G588" s="779"/>
      <c r="H588" s="779"/>
      <c r="I588" s="779"/>
      <c r="J588" s="779"/>
      <c r="K588" s="779"/>
      <c r="L588" s="779"/>
      <c r="M588" s="779"/>
      <c r="N588" s="779"/>
      <c r="O588" s="779"/>
      <c r="P588" s="779"/>
      <c r="Q588" s="779"/>
    </row>
    <row r="589" spans="1:17" s="780" customFormat="1">
      <c r="A589" s="771">
        <v>10.1</v>
      </c>
      <c r="B589" s="808" t="s">
        <v>771</v>
      </c>
      <c r="C589" s="804" t="s">
        <v>51</v>
      </c>
      <c r="D589" s="801" t="s">
        <v>31</v>
      </c>
      <c r="E589" s="779"/>
      <c r="F589" s="779"/>
      <c r="G589" s="779"/>
      <c r="H589" s="779"/>
      <c r="I589" s="779"/>
      <c r="J589" s="779"/>
      <c r="K589" s="779"/>
      <c r="L589" s="779"/>
      <c r="M589" s="779"/>
      <c r="N589" s="779"/>
      <c r="O589" s="779"/>
      <c r="P589" s="779"/>
      <c r="Q589" s="779"/>
    </row>
    <row r="590" spans="1:17" s="780" customFormat="1">
      <c r="A590" s="811" t="s">
        <v>767</v>
      </c>
      <c r="B590" s="810" t="s">
        <v>768</v>
      </c>
      <c r="C590" s="804" t="s">
        <v>51</v>
      </c>
      <c r="D590" s="801" t="s">
        <v>31</v>
      </c>
      <c r="E590" s="779">
        <f>NCong!M603</f>
        <v>1782486.0735000002</v>
      </c>
      <c r="F590" s="779"/>
      <c r="G590" s="779">
        <f>G581</f>
        <v>15622.70412820513</v>
      </c>
      <c r="H590" s="779">
        <f t="shared" ref="H590:J590" si="1135">H581</f>
        <v>27173.82</v>
      </c>
      <c r="I590" s="779">
        <f t="shared" si="1135"/>
        <v>13858.50575</v>
      </c>
      <c r="J590" s="779">
        <f t="shared" si="1135"/>
        <v>31878.212100000001</v>
      </c>
      <c r="K590" s="776">
        <f t="shared" ref="K590:K596" si="1136">SUM(E590:J590)</f>
        <v>1871019.3154782052</v>
      </c>
      <c r="L590" s="776">
        <f t="shared" ref="L590:L596" si="1137">K590*15%</f>
        <v>280652.89732173079</v>
      </c>
      <c r="M590" s="776">
        <f t="shared" ref="M590:M596" si="1138">K590+L590</f>
        <v>2151672.2127999361</v>
      </c>
      <c r="N590" s="776">
        <f t="shared" ref="N590:N596" si="1139">K590-I590</f>
        <v>1857160.8097282052</v>
      </c>
      <c r="O590" s="776">
        <f t="shared" ref="O590:O596" si="1140">$L$6*N590</f>
        <v>278574.12145923078</v>
      </c>
      <c r="P590" s="776">
        <f t="shared" ref="P590:P596" si="1141">N590+O590</f>
        <v>2135734.931187436</v>
      </c>
      <c r="Q590" s="779">
        <f>NCong!P603</f>
        <v>50591.43692307693</v>
      </c>
    </row>
    <row r="591" spans="1:17" s="780" customFormat="1">
      <c r="A591" s="811" t="s">
        <v>767</v>
      </c>
      <c r="B591" s="810" t="s">
        <v>769</v>
      </c>
      <c r="C591" s="804" t="s">
        <v>51</v>
      </c>
      <c r="D591" s="801" t="s">
        <v>31</v>
      </c>
      <c r="E591" s="779">
        <f>NCong!N603</f>
        <v>1773458.5275000003</v>
      </c>
      <c r="F591" s="779"/>
      <c r="G591" s="779">
        <f t="shared" ref="G591:J596" si="1142">G582</f>
        <v>15622.70412820513</v>
      </c>
      <c r="H591" s="779">
        <f t="shared" si="1142"/>
        <v>27173.82</v>
      </c>
      <c r="I591" s="779">
        <f t="shared" si="1142"/>
        <v>13858.50575</v>
      </c>
      <c r="J591" s="779">
        <f t="shared" si="1142"/>
        <v>31878.212100000001</v>
      </c>
      <c r="K591" s="776">
        <f t="shared" si="1136"/>
        <v>1861991.7694782054</v>
      </c>
      <c r="L591" s="776">
        <f t="shared" si="1137"/>
        <v>279298.76542173082</v>
      </c>
      <c r="M591" s="776">
        <f t="shared" si="1138"/>
        <v>2141290.5348999361</v>
      </c>
      <c r="N591" s="776">
        <f t="shared" si="1139"/>
        <v>1848133.2637282053</v>
      </c>
      <c r="O591" s="776">
        <f t="shared" si="1140"/>
        <v>277219.9895592308</v>
      </c>
      <c r="P591" s="776">
        <f t="shared" si="1141"/>
        <v>2125353.253287436</v>
      </c>
      <c r="Q591" s="779">
        <f>NCong!Q603</f>
        <v>50354.200769230767</v>
      </c>
    </row>
    <row r="592" spans="1:17" s="780" customFormat="1">
      <c r="A592" s="811" t="s">
        <v>767</v>
      </c>
      <c r="B592" s="810" t="s">
        <v>770</v>
      </c>
      <c r="C592" s="804" t="s">
        <v>51</v>
      </c>
      <c r="D592" s="801" t="s">
        <v>31</v>
      </c>
      <c r="E592" s="779">
        <f>NCong!O603</f>
        <v>2291644.7152500004</v>
      </c>
      <c r="F592" s="779"/>
      <c r="G592" s="779">
        <f t="shared" si="1142"/>
        <v>20309.51536666667</v>
      </c>
      <c r="H592" s="779">
        <f t="shared" si="1142"/>
        <v>27173.82</v>
      </c>
      <c r="I592" s="779">
        <f t="shared" si="1142"/>
        <v>18016.057475000001</v>
      </c>
      <c r="J592" s="779">
        <f t="shared" si="1142"/>
        <v>41441.675730000003</v>
      </c>
      <c r="K592" s="776">
        <f t="shared" si="1136"/>
        <v>2398585.7838216666</v>
      </c>
      <c r="L592" s="776">
        <f t="shared" si="1137"/>
        <v>359787.86757324997</v>
      </c>
      <c r="M592" s="776">
        <f t="shared" si="1138"/>
        <v>2758373.6513949167</v>
      </c>
      <c r="N592" s="776">
        <f t="shared" si="1139"/>
        <v>2380569.7263466665</v>
      </c>
      <c r="O592" s="776">
        <f t="shared" si="1140"/>
        <v>357085.45895199996</v>
      </c>
      <c r="P592" s="776">
        <f t="shared" si="1141"/>
        <v>2737655.1852986664</v>
      </c>
      <c r="Q592" s="779">
        <f>NCong!R603</f>
        <v>65043.575384615389</v>
      </c>
    </row>
    <row r="593" spans="1:17" s="780" customFormat="1">
      <c r="A593" s="771">
        <v>10.199999999999999</v>
      </c>
      <c r="B593" s="808" t="s">
        <v>772</v>
      </c>
      <c r="C593" s="804" t="s">
        <v>51</v>
      </c>
      <c r="D593" s="801" t="s">
        <v>31</v>
      </c>
      <c r="E593" s="779"/>
      <c r="F593" s="779"/>
      <c r="G593" s="779"/>
      <c r="H593" s="779"/>
      <c r="I593" s="779"/>
      <c r="J593" s="779"/>
      <c r="K593" s="776"/>
      <c r="L593" s="776"/>
      <c r="M593" s="776"/>
      <c r="N593" s="776"/>
      <c r="O593" s="776"/>
      <c r="P593" s="776"/>
      <c r="Q593" s="779"/>
    </row>
    <row r="594" spans="1:17" s="780" customFormat="1">
      <c r="A594" s="811" t="s">
        <v>767</v>
      </c>
      <c r="B594" s="810" t="s">
        <v>768</v>
      </c>
      <c r="C594" s="804" t="s">
        <v>51</v>
      </c>
      <c r="D594" s="801" t="s">
        <v>31</v>
      </c>
      <c r="E594" s="779">
        <f>E590</f>
        <v>1782486.0735000002</v>
      </c>
      <c r="F594" s="779"/>
      <c r="G594" s="779">
        <f t="shared" si="1142"/>
        <v>9373.6224769230776</v>
      </c>
      <c r="H594" s="779">
        <f t="shared" si="1142"/>
        <v>7632.2919999999995</v>
      </c>
      <c r="I594" s="779">
        <f t="shared" si="1142"/>
        <v>8315.1034500000005</v>
      </c>
      <c r="J594" s="779">
        <f t="shared" si="1142"/>
        <v>19126.92726</v>
      </c>
      <c r="K594" s="776">
        <f t="shared" si="1136"/>
        <v>1826934.0186869232</v>
      </c>
      <c r="L594" s="776">
        <f t="shared" si="1137"/>
        <v>274040.10280303849</v>
      </c>
      <c r="M594" s="776">
        <f t="shared" si="1138"/>
        <v>2100974.1214899616</v>
      </c>
      <c r="N594" s="776">
        <f t="shared" si="1139"/>
        <v>1818618.9152369231</v>
      </c>
      <c r="O594" s="776">
        <f t="shared" si="1140"/>
        <v>272792.83728553844</v>
      </c>
      <c r="P594" s="776">
        <f t="shared" si="1141"/>
        <v>2091411.7525224616</v>
      </c>
      <c r="Q594" s="779">
        <f>Q590</f>
        <v>50591.43692307693</v>
      </c>
    </row>
    <row r="595" spans="1:17" s="780" customFormat="1">
      <c r="A595" s="811" t="s">
        <v>767</v>
      </c>
      <c r="B595" s="810" t="s">
        <v>769</v>
      </c>
      <c r="C595" s="804" t="s">
        <v>51</v>
      </c>
      <c r="D595" s="801" t="s">
        <v>31</v>
      </c>
      <c r="E595" s="779">
        <f t="shared" ref="E595:E596" si="1143">E591</f>
        <v>1773458.5275000003</v>
      </c>
      <c r="F595" s="779"/>
      <c r="G595" s="779">
        <f t="shared" si="1142"/>
        <v>9373.6224769230776</v>
      </c>
      <c r="H595" s="779">
        <f t="shared" si="1142"/>
        <v>7632.2919999999995</v>
      </c>
      <c r="I595" s="779">
        <f t="shared" si="1142"/>
        <v>8315.1034500000005</v>
      </c>
      <c r="J595" s="779">
        <f t="shared" si="1142"/>
        <v>19126.92726</v>
      </c>
      <c r="K595" s="776">
        <f t="shared" si="1136"/>
        <v>1817906.4726869233</v>
      </c>
      <c r="L595" s="776">
        <f t="shared" si="1137"/>
        <v>272685.97090303851</v>
      </c>
      <c r="M595" s="776">
        <f t="shared" si="1138"/>
        <v>2090592.4435899619</v>
      </c>
      <c r="N595" s="776">
        <f t="shared" si="1139"/>
        <v>1809591.3692369233</v>
      </c>
      <c r="O595" s="776">
        <f t="shared" si="1140"/>
        <v>271438.70538553846</v>
      </c>
      <c r="P595" s="776">
        <f t="shared" si="1141"/>
        <v>2081030.0746224618</v>
      </c>
      <c r="Q595" s="779">
        <f t="shared" ref="Q595:Q596" si="1144">Q591</f>
        <v>50354.200769230767</v>
      </c>
    </row>
    <row r="596" spans="1:17" s="780" customFormat="1">
      <c r="A596" s="811" t="s">
        <v>767</v>
      </c>
      <c r="B596" s="810" t="s">
        <v>770</v>
      </c>
      <c r="C596" s="804" t="s">
        <v>51</v>
      </c>
      <c r="D596" s="801" t="s">
        <v>31</v>
      </c>
      <c r="E596" s="779">
        <f t="shared" si="1143"/>
        <v>2291644.7152500004</v>
      </c>
      <c r="F596" s="779"/>
      <c r="G596" s="779">
        <f t="shared" si="1142"/>
        <v>12185.709220000001</v>
      </c>
      <c r="H596" s="779">
        <f t="shared" si="1142"/>
        <v>7632.2919999999995</v>
      </c>
      <c r="I596" s="779">
        <f t="shared" si="1142"/>
        <v>10809.634485</v>
      </c>
      <c r="J596" s="779">
        <f t="shared" si="1142"/>
        <v>24865.005438</v>
      </c>
      <c r="K596" s="776">
        <f t="shared" si="1136"/>
        <v>2347137.3563930001</v>
      </c>
      <c r="L596" s="776">
        <f t="shared" si="1137"/>
        <v>352070.60345895001</v>
      </c>
      <c r="M596" s="776">
        <f t="shared" si="1138"/>
        <v>2699207.9598519499</v>
      </c>
      <c r="N596" s="776">
        <f t="shared" si="1139"/>
        <v>2336327.7219080003</v>
      </c>
      <c r="O596" s="776">
        <f t="shared" si="1140"/>
        <v>350449.15828620002</v>
      </c>
      <c r="P596" s="776">
        <f t="shared" si="1141"/>
        <v>2686776.8801942002</v>
      </c>
      <c r="Q596" s="779">
        <f t="shared" si="1144"/>
        <v>65043.575384615389</v>
      </c>
    </row>
    <row r="597" spans="1:17" s="780" customFormat="1" ht="14">
      <c r="A597" s="771">
        <v>11</v>
      </c>
      <c r="B597" s="774" t="s">
        <v>261</v>
      </c>
      <c r="C597" s="771" t="s">
        <v>51</v>
      </c>
      <c r="D597" s="771" t="s">
        <v>31</v>
      </c>
      <c r="E597" s="779"/>
      <c r="F597" s="779"/>
      <c r="G597" s="779"/>
      <c r="H597" s="779"/>
      <c r="I597" s="779"/>
      <c r="J597" s="779"/>
      <c r="K597" s="779"/>
      <c r="L597" s="779"/>
      <c r="M597" s="779"/>
      <c r="N597" s="779"/>
      <c r="O597" s="779"/>
      <c r="P597" s="779"/>
      <c r="Q597" s="779"/>
    </row>
    <row r="598" spans="1:17" s="780" customFormat="1">
      <c r="A598" s="771">
        <v>11.1</v>
      </c>
      <c r="B598" s="808" t="s">
        <v>771</v>
      </c>
      <c r="C598" s="804" t="s">
        <v>51</v>
      </c>
      <c r="D598" s="801" t="s">
        <v>31</v>
      </c>
      <c r="E598" s="779"/>
      <c r="F598" s="779"/>
      <c r="G598" s="779"/>
      <c r="H598" s="779"/>
      <c r="I598" s="779"/>
      <c r="J598" s="779"/>
      <c r="K598" s="779"/>
      <c r="L598" s="779"/>
      <c r="M598" s="779"/>
      <c r="N598" s="779"/>
      <c r="O598" s="779"/>
      <c r="P598" s="779"/>
      <c r="Q598" s="779"/>
    </row>
    <row r="599" spans="1:17" s="780" customFormat="1">
      <c r="A599" s="811" t="s">
        <v>767</v>
      </c>
      <c r="B599" s="810" t="s">
        <v>768</v>
      </c>
      <c r="C599" s="804" t="s">
        <v>51</v>
      </c>
      <c r="D599" s="801" t="s">
        <v>31</v>
      </c>
      <c r="E599" s="779">
        <f>NCong!M604</f>
        <v>1779694.1679000002</v>
      </c>
      <c r="F599" s="779"/>
      <c r="G599" s="779">
        <f>G590</f>
        <v>15622.70412820513</v>
      </c>
      <c r="H599" s="779">
        <f t="shared" ref="H599:J599" si="1145">H590</f>
        <v>27173.82</v>
      </c>
      <c r="I599" s="779">
        <f t="shared" si="1145"/>
        <v>13858.50575</v>
      </c>
      <c r="J599" s="779">
        <f t="shared" si="1145"/>
        <v>31878.212100000001</v>
      </c>
      <c r="K599" s="776">
        <f t="shared" ref="K599:K601" si="1146">SUM(E599:J599)</f>
        <v>1868227.4098782053</v>
      </c>
      <c r="L599" s="776">
        <f t="shared" ref="L599:L601" si="1147">K599*15%</f>
        <v>280234.11148173077</v>
      </c>
      <c r="M599" s="776">
        <f t="shared" ref="M599:M601" si="1148">K599+L599</f>
        <v>2148461.5213599359</v>
      </c>
      <c r="N599" s="776">
        <f t="shared" ref="N599:N601" si="1149">K599-I599</f>
        <v>1854368.9041282053</v>
      </c>
      <c r="O599" s="776">
        <f t="shared" ref="O599:O601" si="1150">$L$6*N599</f>
        <v>278155.33561923075</v>
      </c>
      <c r="P599" s="776">
        <f t="shared" ref="P599:P601" si="1151">N599+O599</f>
        <v>2132524.2397474358</v>
      </c>
      <c r="Q599" s="779">
        <f>NCong!P604</f>
        <v>50516.081846153851</v>
      </c>
    </row>
    <row r="600" spans="1:17" s="780" customFormat="1">
      <c r="A600" s="811" t="s">
        <v>767</v>
      </c>
      <c r="B600" s="810" t="s">
        <v>769</v>
      </c>
      <c r="C600" s="804" t="s">
        <v>51</v>
      </c>
      <c r="D600" s="801" t="s">
        <v>31</v>
      </c>
      <c r="E600" s="779">
        <f>NCong!N604</f>
        <v>1771840.4913000003</v>
      </c>
      <c r="F600" s="779"/>
      <c r="G600" s="779">
        <f t="shared" ref="G600:J600" si="1152">G591</f>
        <v>15622.70412820513</v>
      </c>
      <c r="H600" s="779">
        <f t="shared" si="1152"/>
        <v>27173.82</v>
      </c>
      <c r="I600" s="779">
        <f t="shared" si="1152"/>
        <v>13858.50575</v>
      </c>
      <c r="J600" s="779">
        <f t="shared" si="1152"/>
        <v>31878.212100000001</v>
      </c>
      <c r="K600" s="776">
        <f t="shared" si="1146"/>
        <v>1860373.7332782054</v>
      </c>
      <c r="L600" s="776">
        <f t="shared" si="1147"/>
        <v>279056.05999173078</v>
      </c>
      <c r="M600" s="776">
        <f t="shared" si="1148"/>
        <v>2139429.793269936</v>
      </c>
      <c r="N600" s="776">
        <f t="shared" si="1149"/>
        <v>1846515.2275282054</v>
      </c>
      <c r="O600" s="776">
        <f t="shared" si="1150"/>
        <v>276977.28412923077</v>
      </c>
      <c r="P600" s="776">
        <f t="shared" si="1151"/>
        <v>2123492.5116574364</v>
      </c>
      <c r="Q600" s="779">
        <f>NCong!Q604</f>
        <v>50310.529076923078</v>
      </c>
    </row>
    <row r="601" spans="1:17" s="780" customFormat="1">
      <c r="A601" s="811" t="s">
        <v>767</v>
      </c>
      <c r="B601" s="810" t="s">
        <v>770</v>
      </c>
      <c r="C601" s="804" t="s">
        <v>51</v>
      </c>
      <c r="D601" s="801" t="s">
        <v>31</v>
      </c>
      <c r="E601" s="779">
        <f>NCong!O604</f>
        <v>2287901.0236500003</v>
      </c>
      <c r="F601" s="779"/>
      <c r="G601" s="779">
        <f t="shared" ref="G601:J601" si="1153">G592</f>
        <v>20309.51536666667</v>
      </c>
      <c r="H601" s="779">
        <f t="shared" si="1153"/>
        <v>27173.82</v>
      </c>
      <c r="I601" s="779">
        <f t="shared" si="1153"/>
        <v>18016.057475000001</v>
      </c>
      <c r="J601" s="779">
        <f t="shared" si="1153"/>
        <v>41441.675730000003</v>
      </c>
      <c r="K601" s="776">
        <f t="shared" si="1146"/>
        <v>2394842.0922216666</v>
      </c>
      <c r="L601" s="776">
        <f t="shared" si="1147"/>
        <v>359226.31383324997</v>
      </c>
      <c r="M601" s="776">
        <f t="shared" si="1148"/>
        <v>2754068.4060549168</v>
      </c>
      <c r="N601" s="776">
        <f t="shared" si="1149"/>
        <v>2376826.0347466664</v>
      </c>
      <c r="O601" s="776">
        <f t="shared" si="1150"/>
        <v>356523.90521199995</v>
      </c>
      <c r="P601" s="776">
        <f t="shared" si="1151"/>
        <v>2733349.9399586665</v>
      </c>
      <c r="Q601" s="779">
        <f>NCong!R604</f>
        <v>64942.531076923078</v>
      </c>
    </row>
    <row r="602" spans="1:17" s="780" customFormat="1">
      <c r="A602" s="771">
        <v>11.2</v>
      </c>
      <c r="B602" s="808" t="s">
        <v>772</v>
      </c>
      <c r="C602" s="804" t="s">
        <v>51</v>
      </c>
      <c r="D602" s="801" t="s">
        <v>31</v>
      </c>
      <c r="E602" s="779"/>
      <c r="F602" s="779"/>
      <c r="G602" s="779"/>
      <c r="H602" s="779"/>
      <c r="I602" s="779"/>
      <c r="J602" s="779"/>
      <c r="K602" s="779"/>
      <c r="L602" s="779"/>
      <c r="M602" s="779"/>
      <c r="N602" s="779"/>
      <c r="O602" s="779"/>
      <c r="P602" s="779"/>
      <c r="Q602" s="779"/>
    </row>
    <row r="603" spans="1:17" s="780" customFormat="1">
      <c r="A603" s="811" t="s">
        <v>767</v>
      </c>
      <c r="B603" s="810" t="s">
        <v>768</v>
      </c>
      <c r="C603" s="804" t="s">
        <v>51</v>
      </c>
      <c r="D603" s="801" t="s">
        <v>31</v>
      </c>
      <c r="E603" s="779">
        <f>E599</f>
        <v>1779694.1679000002</v>
      </c>
      <c r="F603" s="779"/>
      <c r="G603" s="779">
        <f t="shared" ref="G603:J603" si="1154">G594</f>
        <v>9373.6224769230776</v>
      </c>
      <c r="H603" s="779">
        <f t="shared" si="1154"/>
        <v>7632.2919999999995</v>
      </c>
      <c r="I603" s="779">
        <f t="shared" si="1154"/>
        <v>8315.1034500000005</v>
      </c>
      <c r="J603" s="779">
        <f t="shared" si="1154"/>
        <v>19126.92726</v>
      </c>
      <c r="K603" s="776">
        <f t="shared" ref="K603:K605" si="1155">SUM(E603:J603)</f>
        <v>1824142.1130869233</v>
      </c>
      <c r="L603" s="776">
        <f t="shared" ref="L603:L605" si="1156">K603*15%</f>
        <v>273621.31696303847</v>
      </c>
      <c r="M603" s="776">
        <f t="shared" ref="M603:M605" si="1157">K603+L603</f>
        <v>2097763.4300499619</v>
      </c>
      <c r="N603" s="776">
        <f t="shared" ref="N603:N605" si="1158">K603-I603</f>
        <v>1815827.0096369232</v>
      </c>
      <c r="O603" s="776">
        <f t="shared" ref="O603:O605" si="1159">$L$6*N603</f>
        <v>272374.05144553847</v>
      </c>
      <c r="P603" s="776">
        <f t="shared" ref="P603:P605" si="1160">N603+O603</f>
        <v>2088201.0610824616</v>
      </c>
      <c r="Q603" s="779">
        <f>Q599</f>
        <v>50516.081846153851</v>
      </c>
    </row>
    <row r="604" spans="1:17" s="780" customFormat="1">
      <c r="A604" s="811" t="s">
        <v>767</v>
      </c>
      <c r="B604" s="810" t="s">
        <v>769</v>
      </c>
      <c r="C604" s="804" t="s">
        <v>51</v>
      </c>
      <c r="D604" s="801" t="s">
        <v>31</v>
      </c>
      <c r="E604" s="779">
        <f t="shared" ref="E604:E605" si="1161">E600</f>
        <v>1771840.4913000003</v>
      </c>
      <c r="F604" s="779"/>
      <c r="G604" s="779">
        <f t="shared" ref="G604:J604" si="1162">G595</f>
        <v>9373.6224769230776</v>
      </c>
      <c r="H604" s="779">
        <f t="shared" si="1162"/>
        <v>7632.2919999999995</v>
      </c>
      <c r="I604" s="779">
        <f t="shared" si="1162"/>
        <v>8315.1034500000005</v>
      </c>
      <c r="J604" s="779">
        <f t="shared" si="1162"/>
        <v>19126.92726</v>
      </c>
      <c r="K604" s="776">
        <f t="shared" si="1155"/>
        <v>1816288.4364869234</v>
      </c>
      <c r="L604" s="776">
        <f t="shared" si="1156"/>
        <v>272443.26547303848</v>
      </c>
      <c r="M604" s="776">
        <f t="shared" si="1157"/>
        <v>2088731.7019599618</v>
      </c>
      <c r="N604" s="776">
        <f t="shared" si="1158"/>
        <v>1807973.3330369233</v>
      </c>
      <c r="O604" s="776">
        <f t="shared" si="1159"/>
        <v>271195.99995553849</v>
      </c>
      <c r="P604" s="776">
        <f t="shared" si="1160"/>
        <v>2079169.3329924617</v>
      </c>
      <c r="Q604" s="779">
        <f t="shared" ref="Q604:Q605" si="1163">Q600</f>
        <v>50310.529076923078</v>
      </c>
    </row>
    <row r="605" spans="1:17" s="780" customFormat="1">
      <c r="A605" s="811" t="s">
        <v>767</v>
      </c>
      <c r="B605" s="810" t="s">
        <v>770</v>
      </c>
      <c r="C605" s="804" t="s">
        <v>51</v>
      </c>
      <c r="D605" s="801" t="s">
        <v>31</v>
      </c>
      <c r="E605" s="779">
        <f t="shared" si="1161"/>
        <v>2287901.0236500003</v>
      </c>
      <c r="F605" s="779"/>
      <c r="G605" s="779">
        <f t="shared" ref="G605:J605" si="1164">G596</f>
        <v>12185.709220000001</v>
      </c>
      <c r="H605" s="779">
        <f t="shared" si="1164"/>
        <v>7632.2919999999995</v>
      </c>
      <c r="I605" s="779">
        <f t="shared" si="1164"/>
        <v>10809.634485</v>
      </c>
      <c r="J605" s="779">
        <f t="shared" si="1164"/>
        <v>24865.005438</v>
      </c>
      <c r="K605" s="776">
        <f t="shared" si="1155"/>
        <v>2343393.6647930001</v>
      </c>
      <c r="L605" s="776">
        <f t="shared" si="1156"/>
        <v>351509.04971895</v>
      </c>
      <c r="M605" s="776">
        <f t="shared" si="1157"/>
        <v>2694902.71451195</v>
      </c>
      <c r="N605" s="776">
        <f t="shared" si="1158"/>
        <v>2332584.0303080003</v>
      </c>
      <c r="O605" s="776">
        <f t="shared" si="1159"/>
        <v>349887.60454620002</v>
      </c>
      <c r="P605" s="776">
        <f t="shared" si="1160"/>
        <v>2682471.6348542003</v>
      </c>
      <c r="Q605" s="779">
        <f t="shared" si="1163"/>
        <v>64942.531076923078</v>
      </c>
    </row>
    <row r="606" spans="1:17" s="780" customFormat="1" ht="14">
      <c r="A606" s="771">
        <v>12</v>
      </c>
      <c r="B606" s="774" t="s">
        <v>262</v>
      </c>
      <c r="C606" s="771" t="s">
        <v>51</v>
      </c>
      <c r="D606" s="771" t="s">
        <v>31</v>
      </c>
      <c r="E606" s="779"/>
      <c r="F606" s="779"/>
      <c r="G606" s="779"/>
      <c r="H606" s="779"/>
      <c r="I606" s="779"/>
      <c r="J606" s="779"/>
      <c r="K606" s="779"/>
      <c r="L606" s="779"/>
      <c r="M606" s="779"/>
      <c r="N606" s="779"/>
      <c r="O606" s="779"/>
      <c r="P606" s="779"/>
      <c r="Q606" s="779"/>
    </row>
    <row r="607" spans="1:17" s="780" customFormat="1">
      <c r="A607" s="771">
        <v>12.1</v>
      </c>
      <c r="B607" s="808" t="s">
        <v>771</v>
      </c>
      <c r="C607" s="804" t="s">
        <v>51</v>
      </c>
      <c r="D607" s="801" t="s">
        <v>31</v>
      </c>
      <c r="E607" s="779"/>
      <c r="F607" s="779"/>
      <c r="G607" s="779"/>
      <c r="H607" s="779"/>
      <c r="I607" s="779"/>
      <c r="J607" s="779"/>
      <c r="K607" s="779"/>
      <c r="L607" s="779"/>
      <c r="M607" s="779"/>
      <c r="N607" s="779"/>
      <c r="O607" s="779"/>
      <c r="P607" s="779"/>
      <c r="Q607" s="779"/>
    </row>
    <row r="608" spans="1:17" s="780" customFormat="1">
      <c r="A608" s="811" t="s">
        <v>767</v>
      </c>
      <c r="B608" s="810" t="s">
        <v>768</v>
      </c>
      <c r="C608" s="804" t="s">
        <v>51</v>
      </c>
      <c r="D608" s="801" t="s">
        <v>31</v>
      </c>
      <c r="E608" s="779">
        <f>NCong!M605</f>
        <v>1779694.1679000002</v>
      </c>
      <c r="F608" s="779"/>
      <c r="G608" s="779">
        <f>G599</f>
        <v>15622.70412820513</v>
      </c>
      <c r="H608" s="779">
        <f t="shared" ref="H608:J608" si="1165">H599</f>
        <v>27173.82</v>
      </c>
      <c r="I608" s="779">
        <f t="shared" si="1165"/>
        <v>13858.50575</v>
      </c>
      <c r="J608" s="779">
        <f t="shared" si="1165"/>
        <v>31878.212100000001</v>
      </c>
      <c r="K608" s="776">
        <f t="shared" ref="K608:K610" si="1166">SUM(E608:J608)</f>
        <v>1868227.4098782053</v>
      </c>
      <c r="L608" s="776">
        <f t="shared" ref="L608:L610" si="1167">K608*15%</f>
        <v>280234.11148173077</v>
      </c>
      <c r="M608" s="776">
        <f t="shared" ref="M608:M610" si="1168">K608+L608</f>
        <v>2148461.5213599359</v>
      </c>
      <c r="N608" s="776">
        <f t="shared" ref="N608:N610" si="1169">K608-I608</f>
        <v>1854368.9041282053</v>
      </c>
      <c r="O608" s="776">
        <f t="shared" ref="O608:O610" si="1170">$L$6*N608</f>
        <v>278155.33561923075</v>
      </c>
      <c r="P608" s="776">
        <f t="shared" ref="P608:P610" si="1171">N608+O608</f>
        <v>2132524.2397474358</v>
      </c>
      <c r="Q608" s="779">
        <f>NCong!P605</f>
        <v>50516.081846153851</v>
      </c>
    </row>
    <row r="609" spans="1:17" s="780" customFormat="1">
      <c r="A609" s="811" t="s">
        <v>767</v>
      </c>
      <c r="B609" s="810" t="s">
        <v>769</v>
      </c>
      <c r="C609" s="804" t="s">
        <v>51</v>
      </c>
      <c r="D609" s="801" t="s">
        <v>31</v>
      </c>
      <c r="E609" s="779">
        <f>NCong!N605</f>
        <v>1771840.4913000003</v>
      </c>
      <c r="F609" s="779"/>
      <c r="G609" s="779">
        <f t="shared" ref="G609:J609" si="1172">G600</f>
        <v>15622.70412820513</v>
      </c>
      <c r="H609" s="779">
        <f t="shared" si="1172"/>
        <v>27173.82</v>
      </c>
      <c r="I609" s="779">
        <f t="shared" si="1172"/>
        <v>13858.50575</v>
      </c>
      <c r="J609" s="779">
        <f t="shared" si="1172"/>
        <v>31878.212100000001</v>
      </c>
      <c r="K609" s="776">
        <f t="shared" si="1166"/>
        <v>1860373.7332782054</v>
      </c>
      <c r="L609" s="776">
        <f t="shared" si="1167"/>
        <v>279056.05999173078</v>
      </c>
      <c r="M609" s="776">
        <f t="shared" si="1168"/>
        <v>2139429.793269936</v>
      </c>
      <c r="N609" s="776">
        <f t="shared" si="1169"/>
        <v>1846515.2275282054</v>
      </c>
      <c r="O609" s="776">
        <f t="shared" si="1170"/>
        <v>276977.28412923077</v>
      </c>
      <c r="P609" s="776">
        <f t="shared" si="1171"/>
        <v>2123492.5116574364</v>
      </c>
      <c r="Q609" s="779">
        <f>NCong!Q605</f>
        <v>50310.529076923078</v>
      </c>
    </row>
    <row r="610" spans="1:17" s="780" customFormat="1">
      <c r="A610" s="811" t="s">
        <v>767</v>
      </c>
      <c r="B610" s="810" t="s">
        <v>770</v>
      </c>
      <c r="C610" s="804" t="s">
        <v>51</v>
      </c>
      <c r="D610" s="801" t="s">
        <v>31</v>
      </c>
      <c r="E610" s="779">
        <f>NCong!O605</f>
        <v>2287901.0236500003</v>
      </c>
      <c r="F610" s="779"/>
      <c r="G610" s="779">
        <f t="shared" ref="G610:J610" si="1173">G601</f>
        <v>20309.51536666667</v>
      </c>
      <c r="H610" s="779">
        <f t="shared" si="1173"/>
        <v>27173.82</v>
      </c>
      <c r="I610" s="779">
        <f t="shared" si="1173"/>
        <v>18016.057475000001</v>
      </c>
      <c r="J610" s="779">
        <f t="shared" si="1173"/>
        <v>41441.675730000003</v>
      </c>
      <c r="K610" s="776">
        <f t="shared" si="1166"/>
        <v>2394842.0922216666</v>
      </c>
      <c r="L610" s="776">
        <f t="shared" si="1167"/>
        <v>359226.31383324997</v>
      </c>
      <c r="M610" s="776">
        <f t="shared" si="1168"/>
        <v>2754068.4060549168</v>
      </c>
      <c r="N610" s="776">
        <f t="shared" si="1169"/>
        <v>2376826.0347466664</v>
      </c>
      <c r="O610" s="776">
        <f t="shared" si="1170"/>
        <v>356523.90521199995</v>
      </c>
      <c r="P610" s="776">
        <f t="shared" si="1171"/>
        <v>2733349.9399586665</v>
      </c>
      <c r="Q610" s="779">
        <f>NCong!R605</f>
        <v>64942.531076923078</v>
      </c>
    </row>
    <row r="611" spans="1:17" s="780" customFormat="1">
      <c r="A611" s="771">
        <v>12.2</v>
      </c>
      <c r="B611" s="808" t="s">
        <v>772</v>
      </c>
      <c r="C611" s="804" t="s">
        <v>51</v>
      </c>
      <c r="D611" s="801" t="s">
        <v>31</v>
      </c>
      <c r="E611" s="779"/>
      <c r="F611" s="779"/>
      <c r="G611" s="779"/>
      <c r="H611" s="779"/>
      <c r="I611" s="779"/>
      <c r="J611" s="779"/>
      <c r="K611" s="779"/>
      <c r="L611" s="779"/>
      <c r="M611" s="779"/>
      <c r="N611" s="779"/>
      <c r="O611" s="779"/>
      <c r="P611" s="779"/>
      <c r="Q611" s="779"/>
    </row>
    <row r="612" spans="1:17" s="780" customFormat="1">
      <c r="A612" s="811" t="s">
        <v>767</v>
      </c>
      <c r="B612" s="810" t="s">
        <v>768</v>
      </c>
      <c r="C612" s="804" t="s">
        <v>51</v>
      </c>
      <c r="D612" s="801" t="s">
        <v>31</v>
      </c>
      <c r="E612" s="779">
        <f>E608</f>
        <v>1779694.1679000002</v>
      </c>
      <c r="F612" s="779"/>
      <c r="G612" s="779">
        <f t="shared" ref="G612:J612" si="1174">G603</f>
        <v>9373.6224769230776</v>
      </c>
      <c r="H612" s="779">
        <f t="shared" si="1174"/>
        <v>7632.2919999999995</v>
      </c>
      <c r="I612" s="779">
        <f t="shared" si="1174"/>
        <v>8315.1034500000005</v>
      </c>
      <c r="J612" s="779">
        <f t="shared" si="1174"/>
        <v>19126.92726</v>
      </c>
      <c r="K612" s="776">
        <f t="shared" ref="K612:K614" si="1175">SUM(E612:J612)</f>
        <v>1824142.1130869233</v>
      </c>
      <c r="L612" s="776">
        <f t="shared" ref="L612:L614" si="1176">K612*15%</f>
        <v>273621.31696303847</v>
      </c>
      <c r="M612" s="776">
        <f t="shared" ref="M612:M614" si="1177">K612+L612</f>
        <v>2097763.4300499619</v>
      </c>
      <c r="N612" s="776">
        <f t="shared" ref="N612:N614" si="1178">K612-I612</f>
        <v>1815827.0096369232</v>
      </c>
      <c r="O612" s="776">
        <f t="shared" ref="O612:O614" si="1179">$L$6*N612</f>
        <v>272374.05144553847</v>
      </c>
      <c r="P612" s="776">
        <f t="shared" ref="P612:P614" si="1180">N612+O612</f>
        <v>2088201.0610824616</v>
      </c>
      <c r="Q612" s="779">
        <f>Q608</f>
        <v>50516.081846153851</v>
      </c>
    </row>
    <row r="613" spans="1:17" s="780" customFormat="1">
      <c r="A613" s="811" t="s">
        <v>767</v>
      </c>
      <c r="B613" s="810" t="s">
        <v>769</v>
      </c>
      <c r="C613" s="804" t="s">
        <v>51</v>
      </c>
      <c r="D613" s="801" t="s">
        <v>31</v>
      </c>
      <c r="E613" s="779">
        <f t="shared" ref="E613:E614" si="1181">E609</f>
        <v>1771840.4913000003</v>
      </c>
      <c r="F613" s="779"/>
      <c r="G613" s="779">
        <f t="shared" ref="G613:J613" si="1182">G604</f>
        <v>9373.6224769230776</v>
      </c>
      <c r="H613" s="779">
        <f t="shared" si="1182"/>
        <v>7632.2919999999995</v>
      </c>
      <c r="I613" s="779">
        <f t="shared" si="1182"/>
        <v>8315.1034500000005</v>
      </c>
      <c r="J613" s="779">
        <f t="shared" si="1182"/>
        <v>19126.92726</v>
      </c>
      <c r="K613" s="776">
        <f t="shared" si="1175"/>
        <v>1816288.4364869234</v>
      </c>
      <c r="L613" s="776">
        <f t="shared" si="1176"/>
        <v>272443.26547303848</v>
      </c>
      <c r="M613" s="776">
        <f t="shared" si="1177"/>
        <v>2088731.7019599618</v>
      </c>
      <c r="N613" s="776">
        <f t="shared" si="1178"/>
        <v>1807973.3330369233</v>
      </c>
      <c r="O613" s="776">
        <f t="shared" si="1179"/>
        <v>271195.99995553849</v>
      </c>
      <c r="P613" s="776">
        <f t="shared" si="1180"/>
        <v>2079169.3329924617</v>
      </c>
      <c r="Q613" s="779">
        <f t="shared" ref="Q613:Q614" si="1183">Q609</f>
        <v>50310.529076923078</v>
      </c>
    </row>
    <row r="614" spans="1:17" s="780" customFormat="1">
      <c r="A614" s="811" t="s">
        <v>767</v>
      </c>
      <c r="B614" s="810" t="s">
        <v>770</v>
      </c>
      <c r="C614" s="804" t="s">
        <v>51</v>
      </c>
      <c r="D614" s="801" t="s">
        <v>31</v>
      </c>
      <c r="E614" s="779">
        <f t="shared" si="1181"/>
        <v>2287901.0236500003</v>
      </c>
      <c r="F614" s="779"/>
      <c r="G614" s="779">
        <f t="shared" ref="G614:J614" si="1184">G605</f>
        <v>12185.709220000001</v>
      </c>
      <c r="H614" s="779">
        <f t="shared" si="1184"/>
        <v>7632.2919999999995</v>
      </c>
      <c r="I614" s="779">
        <f t="shared" si="1184"/>
        <v>10809.634485</v>
      </c>
      <c r="J614" s="779">
        <f t="shared" si="1184"/>
        <v>24865.005438</v>
      </c>
      <c r="K614" s="776">
        <f t="shared" si="1175"/>
        <v>2343393.6647930001</v>
      </c>
      <c r="L614" s="776">
        <f t="shared" si="1176"/>
        <v>351509.04971895</v>
      </c>
      <c r="M614" s="776">
        <f t="shared" si="1177"/>
        <v>2694902.71451195</v>
      </c>
      <c r="N614" s="776">
        <f t="shared" si="1178"/>
        <v>2332584.0303080003</v>
      </c>
      <c r="O614" s="776">
        <f t="shared" si="1179"/>
        <v>349887.60454620002</v>
      </c>
      <c r="P614" s="776">
        <f t="shared" si="1180"/>
        <v>2682471.6348542003</v>
      </c>
      <c r="Q614" s="779">
        <f t="shared" si="1183"/>
        <v>64942.531076923078</v>
      </c>
    </row>
    <row r="615" spans="1:17" s="780" customFormat="1" ht="14">
      <c r="A615" s="771">
        <v>13</v>
      </c>
      <c r="B615" s="774" t="s">
        <v>263</v>
      </c>
      <c r="C615" s="771" t="s">
        <v>51</v>
      </c>
      <c r="D615" s="771" t="s">
        <v>31</v>
      </c>
      <c r="E615" s="779"/>
      <c r="F615" s="779"/>
      <c r="G615" s="779"/>
      <c r="H615" s="779"/>
      <c r="I615" s="779"/>
      <c r="J615" s="779"/>
      <c r="K615" s="779"/>
      <c r="L615" s="779"/>
      <c r="M615" s="779"/>
      <c r="N615" s="779"/>
      <c r="O615" s="779"/>
      <c r="P615" s="779"/>
      <c r="Q615" s="779"/>
    </row>
    <row r="616" spans="1:17" s="780" customFormat="1">
      <c r="A616" s="771">
        <v>13.1</v>
      </c>
      <c r="B616" s="808" t="s">
        <v>771</v>
      </c>
      <c r="C616" s="804" t="s">
        <v>51</v>
      </c>
      <c r="D616" s="801" t="s">
        <v>31</v>
      </c>
      <c r="E616" s="779"/>
      <c r="F616" s="779"/>
      <c r="G616" s="779"/>
      <c r="H616" s="779"/>
      <c r="I616" s="779"/>
      <c r="J616" s="779"/>
      <c r="K616" s="779"/>
      <c r="L616" s="779"/>
      <c r="M616" s="779"/>
      <c r="N616" s="779"/>
      <c r="O616" s="779"/>
      <c r="P616" s="779"/>
      <c r="Q616" s="779"/>
    </row>
    <row r="617" spans="1:17" s="780" customFormat="1">
      <c r="A617" s="811" t="s">
        <v>767</v>
      </c>
      <c r="B617" s="810" t="s">
        <v>768</v>
      </c>
      <c r="C617" s="804" t="s">
        <v>51</v>
      </c>
      <c r="D617" s="801" t="s">
        <v>31</v>
      </c>
      <c r="E617" s="779">
        <f>NCong!M606</f>
        <v>1779694.1679000002</v>
      </c>
      <c r="F617" s="779"/>
      <c r="G617" s="779">
        <f>G608</f>
        <v>15622.70412820513</v>
      </c>
      <c r="H617" s="779">
        <f t="shared" ref="H617:J617" si="1185">H608</f>
        <v>27173.82</v>
      </c>
      <c r="I617" s="779">
        <f t="shared" si="1185"/>
        <v>13858.50575</v>
      </c>
      <c r="J617" s="779">
        <f t="shared" si="1185"/>
        <v>31878.212100000001</v>
      </c>
      <c r="K617" s="776">
        <f t="shared" ref="K617:K619" si="1186">SUM(E617:J617)</f>
        <v>1868227.4098782053</v>
      </c>
      <c r="L617" s="776">
        <f t="shared" ref="L617:L619" si="1187">K617*15%</f>
        <v>280234.11148173077</v>
      </c>
      <c r="M617" s="776">
        <f t="shared" ref="M617:M619" si="1188">K617+L617</f>
        <v>2148461.5213599359</v>
      </c>
      <c r="N617" s="776">
        <f t="shared" ref="N617:N619" si="1189">K617-I617</f>
        <v>1854368.9041282053</v>
      </c>
      <c r="O617" s="776">
        <f t="shared" ref="O617:O619" si="1190">$L$6*N617</f>
        <v>278155.33561923075</v>
      </c>
      <c r="P617" s="776">
        <f t="shared" ref="P617:P619" si="1191">N617+O617</f>
        <v>2132524.2397474358</v>
      </c>
      <c r="Q617" s="779">
        <f>NCong!P606</f>
        <v>50516.081846153851</v>
      </c>
    </row>
    <row r="618" spans="1:17" s="780" customFormat="1">
      <c r="A618" s="811" t="s">
        <v>767</v>
      </c>
      <c r="B618" s="810" t="s">
        <v>769</v>
      </c>
      <c r="C618" s="804" t="s">
        <v>51</v>
      </c>
      <c r="D618" s="801" t="s">
        <v>31</v>
      </c>
      <c r="E618" s="779">
        <f>NCong!N606</f>
        <v>1771840.4913000003</v>
      </c>
      <c r="F618" s="779"/>
      <c r="G618" s="779">
        <f t="shared" ref="G618:J618" si="1192">G609</f>
        <v>15622.70412820513</v>
      </c>
      <c r="H618" s="779">
        <f t="shared" si="1192"/>
        <v>27173.82</v>
      </c>
      <c r="I618" s="779">
        <f t="shared" si="1192"/>
        <v>13858.50575</v>
      </c>
      <c r="J618" s="779">
        <f t="shared" si="1192"/>
        <v>31878.212100000001</v>
      </c>
      <c r="K618" s="776">
        <f t="shared" si="1186"/>
        <v>1860373.7332782054</v>
      </c>
      <c r="L618" s="776">
        <f t="shared" si="1187"/>
        <v>279056.05999173078</v>
      </c>
      <c r="M618" s="776">
        <f t="shared" si="1188"/>
        <v>2139429.793269936</v>
      </c>
      <c r="N618" s="776">
        <f t="shared" si="1189"/>
        <v>1846515.2275282054</v>
      </c>
      <c r="O618" s="776">
        <f t="shared" si="1190"/>
        <v>276977.28412923077</v>
      </c>
      <c r="P618" s="776">
        <f t="shared" si="1191"/>
        <v>2123492.5116574364</v>
      </c>
      <c r="Q618" s="779">
        <f>NCong!Q606</f>
        <v>50310.529076923078</v>
      </c>
    </row>
    <row r="619" spans="1:17" s="780" customFormat="1">
      <c r="A619" s="811" t="s">
        <v>767</v>
      </c>
      <c r="B619" s="810" t="s">
        <v>770</v>
      </c>
      <c r="C619" s="804" t="s">
        <v>51</v>
      </c>
      <c r="D619" s="801" t="s">
        <v>31</v>
      </c>
      <c r="E619" s="779">
        <f>NCong!O606</f>
        <v>2287901.0236500003</v>
      </c>
      <c r="F619" s="779"/>
      <c r="G619" s="779">
        <f t="shared" ref="G619:J619" si="1193">G610</f>
        <v>20309.51536666667</v>
      </c>
      <c r="H619" s="779">
        <f t="shared" si="1193"/>
        <v>27173.82</v>
      </c>
      <c r="I619" s="779">
        <f t="shared" si="1193"/>
        <v>18016.057475000001</v>
      </c>
      <c r="J619" s="779">
        <f t="shared" si="1193"/>
        <v>41441.675730000003</v>
      </c>
      <c r="K619" s="776">
        <f t="shared" si="1186"/>
        <v>2394842.0922216666</v>
      </c>
      <c r="L619" s="776">
        <f t="shared" si="1187"/>
        <v>359226.31383324997</v>
      </c>
      <c r="M619" s="776">
        <f t="shared" si="1188"/>
        <v>2754068.4060549168</v>
      </c>
      <c r="N619" s="776">
        <f t="shared" si="1189"/>
        <v>2376826.0347466664</v>
      </c>
      <c r="O619" s="776">
        <f t="shared" si="1190"/>
        <v>356523.90521199995</v>
      </c>
      <c r="P619" s="776">
        <f t="shared" si="1191"/>
        <v>2733349.9399586665</v>
      </c>
      <c r="Q619" s="779">
        <f>NCong!R606</f>
        <v>64942.531076923078</v>
      </c>
    </row>
    <row r="620" spans="1:17" s="780" customFormat="1">
      <c r="A620" s="771">
        <v>13.2</v>
      </c>
      <c r="B620" s="808" t="s">
        <v>772</v>
      </c>
      <c r="C620" s="804" t="s">
        <v>51</v>
      </c>
      <c r="D620" s="801" t="s">
        <v>31</v>
      </c>
      <c r="E620" s="779"/>
      <c r="F620" s="779"/>
      <c r="G620" s="779"/>
      <c r="H620" s="779"/>
      <c r="I620" s="779"/>
      <c r="J620" s="779"/>
      <c r="K620" s="779"/>
      <c r="L620" s="779"/>
      <c r="M620" s="779"/>
      <c r="N620" s="779"/>
      <c r="O620" s="779"/>
      <c r="P620" s="779"/>
      <c r="Q620" s="779"/>
    </row>
    <row r="621" spans="1:17" s="780" customFormat="1">
      <c r="A621" s="811" t="s">
        <v>767</v>
      </c>
      <c r="B621" s="810" t="s">
        <v>768</v>
      </c>
      <c r="C621" s="804" t="s">
        <v>51</v>
      </c>
      <c r="D621" s="801" t="s">
        <v>31</v>
      </c>
      <c r="E621" s="779">
        <f>E617</f>
        <v>1779694.1679000002</v>
      </c>
      <c r="F621" s="779"/>
      <c r="G621" s="779">
        <f t="shared" ref="G621:J621" si="1194">G612</f>
        <v>9373.6224769230776</v>
      </c>
      <c r="H621" s="779">
        <f t="shared" si="1194"/>
        <v>7632.2919999999995</v>
      </c>
      <c r="I621" s="779">
        <f t="shared" si="1194"/>
        <v>8315.1034500000005</v>
      </c>
      <c r="J621" s="779">
        <f t="shared" si="1194"/>
        <v>19126.92726</v>
      </c>
      <c r="K621" s="776">
        <f t="shared" ref="K621:K623" si="1195">SUM(E621:J621)</f>
        <v>1824142.1130869233</v>
      </c>
      <c r="L621" s="776">
        <f t="shared" ref="L621:L623" si="1196">K621*15%</f>
        <v>273621.31696303847</v>
      </c>
      <c r="M621" s="776">
        <f t="shared" ref="M621:M623" si="1197">K621+L621</f>
        <v>2097763.4300499619</v>
      </c>
      <c r="N621" s="776">
        <f t="shared" ref="N621:N623" si="1198">K621-I621</f>
        <v>1815827.0096369232</v>
      </c>
      <c r="O621" s="776">
        <f t="shared" ref="O621:O623" si="1199">$L$6*N621</f>
        <v>272374.05144553847</v>
      </c>
      <c r="P621" s="776">
        <f t="shared" ref="P621:P623" si="1200">N621+O621</f>
        <v>2088201.0610824616</v>
      </c>
      <c r="Q621" s="779">
        <f>Q617</f>
        <v>50516.081846153851</v>
      </c>
    </row>
    <row r="622" spans="1:17" s="780" customFormat="1">
      <c r="A622" s="811" t="s">
        <v>767</v>
      </c>
      <c r="B622" s="810" t="s">
        <v>769</v>
      </c>
      <c r="C622" s="804" t="s">
        <v>51</v>
      </c>
      <c r="D622" s="801" t="s">
        <v>31</v>
      </c>
      <c r="E622" s="779">
        <f t="shared" ref="E622:E623" si="1201">E618</f>
        <v>1771840.4913000003</v>
      </c>
      <c r="F622" s="779"/>
      <c r="G622" s="779">
        <f t="shared" ref="G622:J622" si="1202">G613</f>
        <v>9373.6224769230776</v>
      </c>
      <c r="H622" s="779">
        <f t="shared" si="1202"/>
        <v>7632.2919999999995</v>
      </c>
      <c r="I622" s="779">
        <f t="shared" si="1202"/>
        <v>8315.1034500000005</v>
      </c>
      <c r="J622" s="779">
        <f t="shared" si="1202"/>
        <v>19126.92726</v>
      </c>
      <c r="K622" s="776">
        <f t="shared" si="1195"/>
        <v>1816288.4364869234</v>
      </c>
      <c r="L622" s="776">
        <f t="shared" si="1196"/>
        <v>272443.26547303848</v>
      </c>
      <c r="M622" s="776">
        <f t="shared" si="1197"/>
        <v>2088731.7019599618</v>
      </c>
      <c r="N622" s="776">
        <f t="shared" si="1198"/>
        <v>1807973.3330369233</v>
      </c>
      <c r="O622" s="776">
        <f t="shared" si="1199"/>
        <v>271195.99995553849</v>
      </c>
      <c r="P622" s="776">
        <f t="shared" si="1200"/>
        <v>2079169.3329924617</v>
      </c>
      <c r="Q622" s="779">
        <f t="shared" ref="Q622:Q623" si="1203">Q618</f>
        <v>50310.529076923078</v>
      </c>
    </row>
    <row r="623" spans="1:17" s="780" customFormat="1">
      <c r="A623" s="811" t="s">
        <v>767</v>
      </c>
      <c r="B623" s="810" t="s">
        <v>770</v>
      </c>
      <c r="C623" s="804" t="s">
        <v>51</v>
      </c>
      <c r="D623" s="801" t="s">
        <v>31</v>
      </c>
      <c r="E623" s="779">
        <f t="shared" si="1201"/>
        <v>2287901.0236500003</v>
      </c>
      <c r="F623" s="779"/>
      <c r="G623" s="779">
        <f t="shared" ref="G623:J623" si="1204">G614</f>
        <v>12185.709220000001</v>
      </c>
      <c r="H623" s="779">
        <f t="shared" si="1204"/>
        <v>7632.2919999999995</v>
      </c>
      <c r="I623" s="779">
        <f t="shared" si="1204"/>
        <v>10809.634485</v>
      </c>
      <c r="J623" s="779">
        <f t="shared" si="1204"/>
        <v>24865.005438</v>
      </c>
      <c r="K623" s="776">
        <f t="shared" si="1195"/>
        <v>2343393.6647930001</v>
      </c>
      <c r="L623" s="776">
        <f t="shared" si="1196"/>
        <v>351509.04971895</v>
      </c>
      <c r="M623" s="776">
        <f t="shared" si="1197"/>
        <v>2694902.71451195</v>
      </c>
      <c r="N623" s="776">
        <f t="shared" si="1198"/>
        <v>2332584.0303080003</v>
      </c>
      <c r="O623" s="776">
        <f t="shared" si="1199"/>
        <v>349887.60454620002</v>
      </c>
      <c r="P623" s="776">
        <f t="shared" si="1200"/>
        <v>2682471.6348542003</v>
      </c>
      <c r="Q623" s="779">
        <f t="shared" si="1203"/>
        <v>64942.531076923078</v>
      </c>
    </row>
    <row r="624" spans="1:17" s="780" customFormat="1">
      <c r="A624" s="771">
        <v>14</v>
      </c>
      <c r="B624" s="774" t="s">
        <v>265</v>
      </c>
      <c r="C624" s="771" t="s">
        <v>51</v>
      </c>
      <c r="D624" s="771" t="s">
        <v>31</v>
      </c>
      <c r="E624" s="779"/>
      <c r="F624" s="779"/>
      <c r="G624" s="779"/>
      <c r="H624" s="779"/>
      <c r="I624" s="779"/>
      <c r="J624" s="779"/>
      <c r="K624" s="779"/>
      <c r="L624" s="779"/>
      <c r="M624" s="779"/>
      <c r="N624" s="779"/>
      <c r="O624" s="779"/>
      <c r="P624" s="779"/>
      <c r="Q624" s="779"/>
    </row>
    <row r="625" spans="1:17" s="780" customFormat="1">
      <c r="A625" s="771">
        <v>14.1</v>
      </c>
      <c r="B625" s="808" t="s">
        <v>771</v>
      </c>
      <c r="C625" s="804" t="s">
        <v>51</v>
      </c>
      <c r="D625" s="801" t="s">
        <v>31</v>
      </c>
      <c r="E625" s="779"/>
      <c r="F625" s="779"/>
      <c r="G625" s="779"/>
      <c r="H625" s="779"/>
      <c r="I625" s="779"/>
      <c r="J625" s="779"/>
      <c r="K625" s="779"/>
      <c r="L625" s="779"/>
      <c r="M625" s="779"/>
      <c r="N625" s="779"/>
      <c r="O625" s="779"/>
      <c r="P625" s="779"/>
      <c r="Q625" s="779"/>
    </row>
    <row r="626" spans="1:17" s="780" customFormat="1">
      <c r="A626" s="811" t="s">
        <v>767</v>
      </c>
      <c r="B626" s="810" t="s">
        <v>768</v>
      </c>
      <c r="C626" s="804" t="s">
        <v>51</v>
      </c>
      <c r="D626" s="801" t="s">
        <v>31</v>
      </c>
      <c r="E626" s="779">
        <f>NCong!M607</f>
        <v>1779694.1679000002</v>
      </c>
      <c r="F626" s="779"/>
      <c r="G626" s="779">
        <f>G617</f>
        <v>15622.70412820513</v>
      </c>
      <c r="H626" s="779">
        <f t="shared" ref="H626:J626" si="1205">H617</f>
        <v>27173.82</v>
      </c>
      <c r="I626" s="779">
        <f t="shared" si="1205"/>
        <v>13858.50575</v>
      </c>
      <c r="J626" s="779">
        <f t="shared" si="1205"/>
        <v>31878.212100000001</v>
      </c>
      <c r="K626" s="776">
        <f t="shared" ref="K626:K628" si="1206">SUM(E626:J626)</f>
        <v>1868227.4098782053</v>
      </c>
      <c r="L626" s="776">
        <f t="shared" ref="L626:L628" si="1207">K626*15%</f>
        <v>280234.11148173077</v>
      </c>
      <c r="M626" s="776">
        <f t="shared" ref="M626:M628" si="1208">K626+L626</f>
        <v>2148461.5213599359</v>
      </c>
      <c r="N626" s="776">
        <f t="shared" ref="N626:N628" si="1209">K626-I626</f>
        <v>1854368.9041282053</v>
      </c>
      <c r="O626" s="776">
        <f t="shared" ref="O626:O628" si="1210">$L$6*N626</f>
        <v>278155.33561923075</v>
      </c>
      <c r="P626" s="776">
        <f t="shared" ref="P626:P628" si="1211">N626+O626</f>
        <v>2132524.2397474358</v>
      </c>
      <c r="Q626" s="779">
        <f>NCong!P607</f>
        <v>50516.081846153851</v>
      </c>
    </row>
    <row r="627" spans="1:17" s="780" customFormat="1">
      <c r="A627" s="811" t="s">
        <v>767</v>
      </c>
      <c r="B627" s="810" t="s">
        <v>769</v>
      </c>
      <c r="C627" s="804" t="s">
        <v>51</v>
      </c>
      <c r="D627" s="801" t="s">
        <v>31</v>
      </c>
      <c r="E627" s="779">
        <f>NCong!N607</f>
        <v>1771840.4913000003</v>
      </c>
      <c r="F627" s="779"/>
      <c r="G627" s="779">
        <f t="shared" ref="G627:J627" si="1212">G618</f>
        <v>15622.70412820513</v>
      </c>
      <c r="H627" s="779">
        <f t="shared" si="1212"/>
        <v>27173.82</v>
      </c>
      <c r="I627" s="779">
        <f t="shared" si="1212"/>
        <v>13858.50575</v>
      </c>
      <c r="J627" s="779">
        <f t="shared" si="1212"/>
        <v>31878.212100000001</v>
      </c>
      <c r="K627" s="776">
        <f t="shared" si="1206"/>
        <v>1860373.7332782054</v>
      </c>
      <c r="L627" s="776">
        <f t="shared" si="1207"/>
        <v>279056.05999173078</v>
      </c>
      <c r="M627" s="776">
        <f t="shared" si="1208"/>
        <v>2139429.793269936</v>
      </c>
      <c r="N627" s="776">
        <f t="shared" si="1209"/>
        <v>1846515.2275282054</v>
      </c>
      <c r="O627" s="776">
        <f t="shared" si="1210"/>
        <v>276977.28412923077</v>
      </c>
      <c r="P627" s="776">
        <f t="shared" si="1211"/>
        <v>2123492.5116574364</v>
      </c>
      <c r="Q627" s="779">
        <f>NCong!Q607</f>
        <v>50310.529076923078</v>
      </c>
    </row>
    <row r="628" spans="1:17" s="780" customFormat="1">
      <c r="A628" s="811" t="s">
        <v>767</v>
      </c>
      <c r="B628" s="810" t="s">
        <v>770</v>
      </c>
      <c r="C628" s="804" t="s">
        <v>51</v>
      </c>
      <c r="D628" s="801" t="s">
        <v>31</v>
      </c>
      <c r="E628" s="779">
        <f>NCong!O607</f>
        <v>2287901.0236500003</v>
      </c>
      <c r="F628" s="779"/>
      <c r="G628" s="779">
        <f t="shared" ref="G628:J628" si="1213">G619</f>
        <v>20309.51536666667</v>
      </c>
      <c r="H628" s="779">
        <f t="shared" si="1213"/>
        <v>27173.82</v>
      </c>
      <c r="I628" s="779">
        <f t="shared" si="1213"/>
        <v>18016.057475000001</v>
      </c>
      <c r="J628" s="779">
        <f t="shared" si="1213"/>
        <v>41441.675730000003</v>
      </c>
      <c r="K628" s="776">
        <f t="shared" si="1206"/>
        <v>2394842.0922216666</v>
      </c>
      <c r="L628" s="776">
        <f t="shared" si="1207"/>
        <v>359226.31383324997</v>
      </c>
      <c r="M628" s="776">
        <f t="shared" si="1208"/>
        <v>2754068.4060549168</v>
      </c>
      <c r="N628" s="776">
        <f t="shared" si="1209"/>
        <v>2376826.0347466664</v>
      </c>
      <c r="O628" s="776">
        <f t="shared" si="1210"/>
        <v>356523.90521199995</v>
      </c>
      <c r="P628" s="776">
        <f t="shared" si="1211"/>
        <v>2733349.9399586665</v>
      </c>
      <c r="Q628" s="779">
        <f>NCong!R607</f>
        <v>64942.531076923078</v>
      </c>
    </row>
    <row r="629" spans="1:17" s="780" customFormat="1">
      <c r="A629" s="771">
        <v>14.2</v>
      </c>
      <c r="B629" s="808" t="s">
        <v>772</v>
      </c>
      <c r="C629" s="804" t="s">
        <v>51</v>
      </c>
      <c r="D629" s="801" t="s">
        <v>31</v>
      </c>
      <c r="E629" s="779"/>
      <c r="F629" s="779"/>
      <c r="G629" s="779"/>
      <c r="H629" s="779"/>
      <c r="I629" s="779"/>
      <c r="J629" s="779"/>
      <c r="K629" s="779"/>
      <c r="L629" s="779"/>
      <c r="M629" s="779"/>
      <c r="N629" s="779"/>
      <c r="O629" s="779"/>
      <c r="P629" s="779"/>
      <c r="Q629" s="779"/>
    </row>
    <row r="630" spans="1:17" s="780" customFormat="1">
      <c r="A630" s="811" t="s">
        <v>767</v>
      </c>
      <c r="B630" s="810" t="s">
        <v>768</v>
      </c>
      <c r="C630" s="804" t="s">
        <v>51</v>
      </c>
      <c r="D630" s="801" t="s">
        <v>31</v>
      </c>
      <c r="E630" s="779">
        <f>E626</f>
        <v>1779694.1679000002</v>
      </c>
      <c r="F630" s="779"/>
      <c r="G630" s="779">
        <f t="shared" ref="G630:J630" si="1214">G621</f>
        <v>9373.6224769230776</v>
      </c>
      <c r="H630" s="779">
        <f t="shared" si="1214"/>
        <v>7632.2919999999995</v>
      </c>
      <c r="I630" s="779">
        <f t="shared" si="1214"/>
        <v>8315.1034500000005</v>
      </c>
      <c r="J630" s="779">
        <f t="shared" si="1214"/>
        <v>19126.92726</v>
      </c>
      <c r="K630" s="776">
        <f t="shared" ref="K630:K632" si="1215">SUM(E630:J630)</f>
        <v>1824142.1130869233</v>
      </c>
      <c r="L630" s="776">
        <f t="shared" ref="L630:L632" si="1216">K630*15%</f>
        <v>273621.31696303847</v>
      </c>
      <c r="M630" s="776">
        <f t="shared" ref="M630:M632" si="1217">K630+L630</f>
        <v>2097763.4300499619</v>
      </c>
      <c r="N630" s="776">
        <f t="shared" ref="N630:N632" si="1218">K630-I630</f>
        <v>1815827.0096369232</v>
      </c>
      <c r="O630" s="776">
        <f t="shared" ref="O630:O632" si="1219">$L$6*N630</f>
        <v>272374.05144553847</v>
      </c>
      <c r="P630" s="776">
        <f t="shared" ref="P630:P632" si="1220">N630+O630</f>
        <v>2088201.0610824616</v>
      </c>
      <c r="Q630" s="779">
        <f>Q626</f>
        <v>50516.081846153851</v>
      </c>
    </row>
    <row r="631" spans="1:17" s="780" customFormat="1">
      <c r="A631" s="811" t="s">
        <v>767</v>
      </c>
      <c r="B631" s="810" t="s">
        <v>769</v>
      </c>
      <c r="C631" s="804" t="s">
        <v>51</v>
      </c>
      <c r="D631" s="801" t="s">
        <v>31</v>
      </c>
      <c r="E631" s="779">
        <f t="shared" ref="E631:E632" si="1221">E627</f>
        <v>1771840.4913000003</v>
      </c>
      <c r="F631" s="779"/>
      <c r="G631" s="779">
        <f t="shared" ref="G631:J631" si="1222">G622</f>
        <v>9373.6224769230776</v>
      </c>
      <c r="H631" s="779">
        <f t="shared" si="1222"/>
        <v>7632.2919999999995</v>
      </c>
      <c r="I631" s="779">
        <f t="shared" si="1222"/>
        <v>8315.1034500000005</v>
      </c>
      <c r="J631" s="779">
        <f t="shared" si="1222"/>
        <v>19126.92726</v>
      </c>
      <c r="K631" s="776">
        <f t="shared" si="1215"/>
        <v>1816288.4364869234</v>
      </c>
      <c r="L631" s="776">
        <f t="shared" si="1216"/>
        <v>272443.26547303848</v>
      </c>
      <c r="M631" s="776">
        <f t="shared" si="1217"/>
        <v>2088731.7019599618</v>
      </c>
      <c r="N631" s="776">
        <f t="shared" si="1218"/>
        <v>1807973.3330369233</v>
      </c>
      <c r="O631" s="776">
        <f t="shared" si="1219"/>
        <v>271195.99995553849</v>
      </c>
      <c r="P631" s="776">
        <f t="shared" si="1220"/>
        <v>2079169.3329924617</v>
      </c>
      <c r="Q631" s="779">
        <f t="shared" ref="Q631:Q632" si="1223">Q627</f>
        <v>50310.529076923078</v>
      </c>
    </row>
    <row r="632" spans="1:17" s="780" customFormat="1">
      <c r="A632" s="811" t="s">
        <v>767</v>
      </c>
      <c r="B632" s="810" t="s">
        <v>770</v>
      </c>
      <c r="C632" s="804" t="s">
        <v>51</v>
      </c>
      <c r="D632" s="801" t="s">
        <v>31</v>
      </c>
      <c r="E632" s="779">
        <f t="shared" si="1221"/>
        <v>2287901.0236500003</v>
      </c>
      <c r="F632" s="779"/>
      <c r="G632" s="779">
        <f t="shared" ref="G632:J632" si="1224">G623</f>
        <v>12185.709220000001</v>
      </c>
      <c r="H632" s="779">
        <f t="shared" si="1224"/>
        <v>7632.2919999999995</v>
      </c>
      <c r="I632" s="779">
        <f t="shared" si="1224"/>
        <v>10809.634485</v>
      </c>
      <c r="J632" s="779">
        <f t="shared" si="1224"/>
        <v>24865.005438</v>
      </c>
      <c r="K632" s="776">
        <f t="shared" si="1215"/>
        <v>2343393.6647930001</v>
      </c>
      <c r="L632" s="776">
        <f t="shared" si="1216"/>
        <v>351509.04971895</v>
      </c>
      <c r="M632" s="776">
        <f t="shared" si="1217"/>
        <v>2694902.71451195</v>
      </c>
      <c r="N632" s="776">
        <f t="shared" si="1218"/>
        <v>2332584.0303080003</v>
      </c>
      <c r="O632" s="776">
        <f t="shared" si="1219"/>
        <v>349887.60454620002</v>
      </c>
      <c r="P632" s="776">
        <f t="shared" si="1220"/>
        <v>2682471.6348542003</v>
      </c>
      <c r="Q632" s="779">
        <f t="shared" si="1223"/>
        <v>64942.531076923078</v>
      </c>
    </row>
    <row r="633" spans="1:17" s="780" customFormat="1">
      <c r="A633" s="771">
        <v>15</v>
      </c>
      <c r="B633" s="774" t="s">
        <v>290</v>
      </c>
      <c r="C633" s="771" t="s">
        <v>51</v>
      </c>
      <c r="D633" s="771" t="s">
        <v>31</v>
      </c>
      <c r="E633" s="779"/>
      <c r="F633" s="779"/>
      <c r="G633" s="779"/>
      <c r="H633" s="779"/>
      <c r="I633" s="779"/>
      <c r="J633" s="779"/>
      <c r="K633" s="779"/>
      <c r="L633" s="779"/>
      <c r="M633" s="779"/>
      <c r="N633" s="779"/>
      <c r="O633" s="779"/>
      <c r="P633" s="779"/>
      <c r="Q633" s="779"/>
    </row>
    <row r="634" spans="1:17" s="780" customFormat="1">
      <c r="A634" s="771">
        <v>15.1</v>
      </c>
      <c r="B634" s="808" t="s">
        <v>771</v>
      </c>
      <c r="C634" s="804" t="s">
        <v>51</v>
      </c>
      <c r="D634" s="801" t="s">
        <v>31</v>
      </c>
      <c r="E634" s="779"/>
      <c r="F634" s="779"/>
      <c r="G634" s="779"/>
      <c r="H634" s="779"/>
      <c r="I634" s="779"/>
      <c r="J634" s="779"/>
      <c r="K634" s="779"/>
      <c r="L634" s="779"/>
      <c r="M634" s="779"/>
      <c r="N634" s="779"/>
      <c r="O634" s="779"/>
      <c r="P634" s="779"/>
      <c r="Q634" s="779"/>
    </row>
    <row r="635" spans="1:17" s="780" customFormat="1">
      <c r="A635" s="811" t="s">
        <v>767</v>
      </c>
      <c r="B635" s="810" t="s">
        <v>768</v>
      </c>
      <c r="C635" s="804" t="s">
        <v>51</v>
      </c>
      <c r="D635" s="801" t="s">
        <v>31</v>
      </c>
      <c r="E635" s="779">
        <f>NCong!M608</f>
        <v>1779694.1679000002</v>
      </c>
      <c r="F635" s="779"/>
      <c r="G635" s="779">
        <f>G626</f>
        <v>15622.70412820513</v>
      </c>
      <c r="H635" s="779">
        <f t="shared" ref="H635:J635" si="1225">H626</f>
        <v>27173.82</v>
      </c>
      <c r="I635" s="779">
        <f t="shared" si="1225"/>
        <v>13858.50575</v>
      </c>
      <c r="J635" s="779">
        <f t="shared" si="1225"/>
        <v>31878.212100000001</v>
      </c>
      <c r="K635" s="776">
        <f t="shared" ref="K635:K637" si="1226">SUM(E635:J635)</f>
        <v>1868227.4098782053</v>
      </c>
      <c r="L635" s="776">
        <f t="shared" ref="L635:L637" si="1227">K635*15%</f>
        <v>280234.11148173077</v>
      </c>
      <c r="M635" s="776">
        <f t="shared" ref="M635:M637" si="1228">K635+L635</f>
        <v>2148461.5213599359</v>
      </c>
      <c r="N635" s="776">
        <f t="shared" ref="N635:N637" si="1229">K635-I635</f>
        <v>1854368.9041282053</v>
      </c>
      <c r="O635" s="776">
        <f t="shared" ref="O635:O637" si="1230">$L$6*N635</f>
        <v>278155.33561923075</v>
      </c>
      <c r="P635" s="776">
        <f t="shared" ref="P635:P637" si="1231">N635+O635</f>
        <v>2132524.2397474358</v>
      </c>
      <c r="Q635" s="779">
        <f>NCong!P608</f>
        <v>50516.081846153851</v>
      </c>
    </row>
    <row r="636" spans="1:17" s="780" customFormat="1">
      <c r="A636" s="811" t="s">
        <v>767</v>
      </c>
      <c r="B636" s="810" t="s">
        <v>769</v>
      </c>
      <c r="C636" s="804" t="s">
        <v>51</v>
      </c>
      <c r="D636" s="801" t="s">
        <v>31</v>
      </c>
      <c r="E636" s="779">
        <f>NCong!N608</f>
        <v>1771840.4913000003</v>
      </c>
      <c r="F636" s="779"/>
      <c r="G636" s="779">
        <f t="shared" ref="G636:J636" si="1232">G627</f>
        <v>15622.70412820513</v>
      </c>
      <c r="H636" s="779">
        <f t="shared" si="1232"/>
        <v>27173.82</v>
      </c>
      <c r="I636" s="779">
        <f t="shared" si="1232"/>
        <v>13858.50575</v>
      </c>
      <c r="J636" s="779">
        <f t="shared" si="1232"/>
        <v>31878.212100000001</v>
      </c>
      <c r="K636" s="776">
        <f t="shared" si="1226"/>
        <v>1860373.7332782054</v>
      </c>
      <c r="L636" s="776">
        <f t="shared" si="1227"/>
        <v>279056.05999173078</v>
      </c>
      <c r="M636" s="776">
        <f t="shared" si="1228"/>
        <v>2139429.793269936</v>
      </c>
      <c r="N636" s="776">
        <f t="shared" si="1229"/>
        <v>1846515.2275282054</v>
      </c>
      <c r="O636" s="776">
        <f t="shared" si="1230"/>
        <v>276977.28412923077</v>
      </c>
      <c r="P636" s="776">
        <f t="shared" si="1231"/>
        <v>2123492.5116574364</v>
      </c>
      <c r="Q636" s="779">
        <f>NCong!Q608</f>
        <v>50310.529076923078</v>
      </c>
    </row>
    <row r="637" spans="1:17" s="780" customFormat="1">
      <c r="A637" s="811" t="s">
        <v>767</v>
      </c>
      <c r="B637" s="810" t="s">
        <v>770</v>
      </c>
      <c r="C637" s="804" t="s">
        <v>51</v>
      </c>
      <c r="D637" s="801" t="s">
        <v>31</v>
      </c>
      <c r="E637" s="779">
        <f>NCong!O608</f>
        <v>2287901.0236500003</v>
      </c>
      <c r="F637" s="779"/>
      <c r="G637" s="779">
        <f t="shared" ref="G637:J637" si="1233">G628</f>
        <v>20309.51536666667</v>
      </c>
      <c r="H637" s="779">
        <f t="shared" si="1233"/>
        <v>27173.82</v>
      </c>
      <c r="I637" s="779">
        <f t="shared" si="1233"/>
        <v>18016.057475000001</v>
      </c>
      <c r="J637" s="779">
        <f t="shared" si="1233"/>
        <v>41441.675730000003</v>
      </c>
      <c r="K637" s="776">
        <f t="shared" si="1226"/>
        <v>2394842.0922216666</v>
      </c>
      <c r="L637" s="776">
        <f t="shared" si="1227"/>
        <v>359226.31383324997</v>
      </c>
      <c r="M637" s="776">
        <f t="shared" si="1228"/>
        <v>2754068.4060549168</v>
      </c>
      <c r="N637" s="776">
        <f t="shared" si="1229"/>
        <v>2376826.0347466664</v>
      </c>
      <c r="O637" s="776">
        <f t="shared" si="1230"/>
        <v>356523.90521199995</v>
      </c>
      <c r="P637" s="776">
        <f t="shared" si="1231"/>
        <v>2733349.9399586665</v>
      </c>
      <c r="Q637" s="779">
        <f>NCong!R608</f>
        <v>64942.531076923078</v>
      </c>
    </row>
    <row r="638" spans="1:17" s="780" customFormat="1">
      <c r="A638" s="771">
        <v>15.2</v>
      </c>
      <c r="B638" s="808" t="s">
        <v>772</v>
      </c>
      <c r="C638" s="804" t="s">
        <v>51</v>
      </c>
      <c r="D638" s="801" t="s">
        <v>31</v>
      </c>
      <c r="E638" s="779"/>
      <c r="F638" s="779"/>
      <c r="G638" s="779"/>
      <c r="H638" s="779"/>
      <c r="I638" s="779"/>
      <c r="J638" s="779"/>
      <c r="K638" s="779"/>
      <c r="L638" s="779"/>
      <c r="M638" s="779"/>
      <c r="N638" s="779"/>
      <c r="O638" s="779"/>
      <c r="P638" s="779"/>
      <c r="Q638" s="779"/>
    </row>
    <row r="639" spans="1:17" s="780" customFormat="1">
      <c r="A639" s="811" t="s">
        <v>767</v>
      </c>
      <c r="B639" s="810" t="s">
        <v>768</v>
      </c>
      <c r="C639" s="804" t="s">
        <v>51</v>
      </c>
      <c r="D639" s="801" t="s">
        <v>31</v>
      </c>
      <c r="E639" s="779">
        <f>E635</f>
        <v>1779694.1679000002</v>
      </c>
      <c r="F639" s="779"/>
      <c r="G639" s="779">
        <f t="shared" ref="G639:J639" si="1234">G630</f>
        <v>9373.6224769230776</v>
      </c>
      <c r="H639" s="779">
        <f t="shared" si="1234"/>
        <v>7632.2919999999995</v>
      </c>
      <c r="I639" s="779">
        <f t="shared" si="1234"/>
        <v>8315.1034500000005</v>
      </c>
      <c r="J639" s="779">
        <f t="shared" si="1234"/>
        <v>19126.92726</v>
      </c>
      <c r="K639" s="776">
        <f t="shared" ref="K639:K641" si="1235">SUM(E639:J639)</f>
        <v>1824142.1130869233</v>
      </c>
      <c r="L639" s="776">
        <f t="shared" ref="L639:L641" si="1236">K639*15%</f>
        <v>273621.31696303847</v>
      </c>
      <c r="M639" s="776">
        <f t="shared" ref="M639:M641" si="1237">K639+L639</f>
        <v>2097763.4300499619</v>
      </c>
      <c r="N639" s="776">
        <f t="shared" ref="N639:N641" si="1238">K639-I639</f>
        <v>1815827.0096369232</v>
      </c>
      <c r="O639" s="776">
        <f t="shared" ref="O639:O641" si="1239">$L$6*N639</f>
        <v>272374.05144553847</v>
      </c>
      <c r="P639" s="776">
        <f t="shared" ref="P639:P641" si="1240">N639+O639</f>
        <v>2088201.0610824616</v>
      </c>
      <c r="Q639" s="779">
        <f>Q635</f>
        <v>50516.081846153851</v>
      </c>
    </row>
    <row r="640" spans="1:17" s="780" customFormat="1">
      <c r="A640" s="811" t="s">
        <v>767</v>
      </c>
      <c r="B640" s="810" t="s">
        <v>769</v>
      </c>
      <c r="C640" s="804" t="s">
        <v>51</v>
      </c>
      <c r="D640" s="801" t="s">
        <v>31</v>
      </c>
      <c r="E640" s="779">
        <f t="shared" ref="E640:E641" si="1241">E636</f>
        <v>1771840.4913000003</v>
      </c>
      <c r="F640" s="779"/>
      <c r="G640" s="779">
        <f t="shared" ref="G640:J640" si="1242">G631</f>
        <v>9373.6224769230776</v>
      </c>
      <c r="H640" s="779">
        <f t="shared" si="1242"/>
        <v>7632.2919999999995</v>
      </c>
      <c r="I640" s="779">
        <f t="shared" si="1242"/>
        <v>8315.1034500000005</v>
      </c>
      <c r="J640" s="779">
        <f t="shared" si="1242"/>
        <v>19126.92726</v>
      </c>
      <c r="K640" s="776">
        <f t="shared" si="1235"/>
        <v>1816288.4364869234</v>
      </c>
      <c r="L640" s="776">
        <f t="shared" si="1236"/>
        <v>272443.26547303848</v>
      </c>
      <c r="M640" s="776">
        <f t="shared" si="1237"/>
        <v>2088731.7019599618</v>
      </c>
      <c r="N640" s="776">
        <f t="shared" si="1238"/>
        <v>1807973.3330369233</v>
      </c>
      <c r="O640" s="776">
        <f t="shared" si="1239"/>
        <v>271195.99995553849</v>
      </c>
      <c r="P640" s="776">
        <f t="shared" si="1240"/>
        <v>2079169.3329924617</v>
      </c>
      <c r="Q640" s="779">
        <f t="shared" ref="Q640:Q641" si="1243">Q636</f>
        <v>50310.529076923078</v>
      </c>
    </row>
    <row r="641" spans="1:17" s="780" customFormat="1">
      <c r="A641" s="811" t="s">
        <v>767</v>
      </c>
      <c r="B641" s="810" t="s">
        <v>770</v>
      </c>
      <c r="C641" s="804" t="s">
        <v>51</v>
      </c>
      <c r="D641" s="801" t="s">
        <v>31</v>
      </c>
      <c r="E641" s="779">
        <f t="shared" si="1241"/>
        <v>2287901.0236500003</v>
      </c>
      <c r="F641" s="779"/>
      <c r="G641" s="779">
        <f t="shared" ref="G641:J641" si="1244">G632</f>
        <v>12185.709220000001</v>
      </c>
      <c r="H641" s="779">
        <f t="shared" si="1244"/>
        <v>7632.2919999999995</v>
      </c>
      <c r="I641" s="779">
        <f t="shared" si="1244"/>
        <v>10809.634485</v>
      </c>
      <c r="J641" s="779">
        <f t="shared" si="1244"/>
        <v>24865.005438</v>
      </c>
      <c r="K641" s="776">
        <f t="shared" si="1235"/>
        <v>2343393.6647930001</v>
      </c>
      <c r="L641" s="776">
        <f t="shared" si="1236"/>
        <v>351509.04971895</v>
      </c>
      <c r="M641" s="776">
        <f t="shared" si="1237"/>
        <v>2694902.71451195</v>
      </c>
      <c r="N641" s="776">
        <f t="shared" si="1238"/>
        <v>2332584.0303080003</v>
      </c>
      <c r="O641" s="776">
        <f t="shared" si="1239"/>
        <v>349887.60454620002</v>
      </c>
      <c r="P641" s="776">
        <f t="shared" si="1240"/>
        <v>2682471.6348542003</v>
      </c>
      <c r="Q641" s="779">
        <f t="shared" si="1243"/>
        <v>64942.531076923078</v>
      </c>
    </row>
    <row r="642" spans="1:17" s="780" customFormat="1" ht="14">
      <c r="A642" s="771">
        <v>16</v>
      </c>
      <c r="B642" s="774" t="s">
        <v>291</v>
      </c>
      <c r="C642" s="771" t="s">
        <v>51</v>
      </c>
      <c r="D642" s="771" t="s">
        <v>31</v>
      </c>
      <c r="E642" s="779"/>
      <c r="F642" s="779"/>
      <c r="G642" s="779"/>
      <c r="H642" s="779"/>
      <c r="I642" s="779"/>
      <c r="J642" s="779"/>
      <c r="K642" s="779"/>
      <c r="L642" s="779"/>
      <c r="M642" s="779"/>
      <c r="N642" s="779"/>
      <c r="O642" s="779"/>
      <c r="P642" s="779"/>
      <c r="Q642" s="779"/>
    </row>
    <row r="643" spans="1:17" s="780" customFormat="1">
      <c r="A643" s="771">
        <v>16.100000000000001</v>
      </c>
      <c r="B643" s="808" t="s">
        <v>771</v>
      </c>
      <c r="C643" s="804" t="s">
        <v>51</v>
      </c>
      <c r="D643" s="801" t="s">
        <v>31</v>
      </c>
      <c r="E643" s="779"/>
      <c r="F643" s="779"/>
      <c r="G643" s="779"/>
      <c r="H643" s="779"/>
      <c r="I643" s="779"/>
      <c r="J643" s="779"/>
      <c r="K643" s="779"/>
      <c r="L643" s="779"/>
      <c r="M643" s="779"/>
      <c r="N643" s="779"/>
      <c r="O643" s="779"/>
      <c r="P643" s="779"/>
      <c r="Q643" s="779"/>
    </row>
    <row r="644" spans="1:17" s="780" customFormat="1">
      <c r="A644" s="811" t="s">
        <v>767</v>
      </c>
      <c r="B644" s="810" t="s">
        <v>768</v>
      </c>
      <c r="C644" s="804" t="s">
        <v>51</v>
      </c>
      <c r="D644" s="801" t="s">
        <v>31</v>
      </c>
      <c r="E644" s="779">
        <f>NCong!M609</f>
        <v>1770049.4031000002</v>
      </c>
      <c r="F644" s="779"/>
      <c r="G644" s="779">
        <f>G635</f>
        <v>15622.70412820513</v>
      </c>
      <c r="H644" s="779">
        <f t="shared" ref="H644:J644" si="1245">H635</f>
        <v>27173.82</v>
      </c>
      <c r="I644" s="779">
        <f t="shared" si="1245"/>
        <v>13858.50575</v>
      </c>
      <c r="J644" s="779">
        <f t="shared" si="1245"/>
        <v>31878.212100000001</v>
      </c>
      <c r="K644" s="776">
        <f t="shared" ref="K644:K646" si="1246">SUM(E644:J644)</f>
        <v>1858582.6450782053</v>
      </c>
      <c r="L644" s="776">
        <f t="shared" ref="L644:L646" si="1247">K644*15%</f>
        <v>278787.39676173078</v>
      </c>
      <c r="M644" s="776">
        <f t="shared" ref="M644:M646" si="1248">K644+L644</f>
        <v>2137370.0418399358</v>
      </c>
      <c r="N644" s="776">
        <f t="shared" ref="N644:N646" si="1249">K644-I644</f>
        <v>1844724.1393282053</v>
      </c>
      <c r="O644" s="776">
        <f t="shared" ref="O644:O646" si="1250">$L$6*N644</f>
        <v>276708.62089923077</v>
      </c>
      <c r="P644" s="776">
        <f t="shared" ref="P644:P646" si="1251">N644+O644</f>
        <v>2121432.7602274362</v>
      </c>
      <c r="Q644" s="779">
        <f>NCong!P609</f>
        <v>50255.764307692312</v>
      </c>
    </row>
    <row r="645" spans="1:17" s="780" customFormat="1">
      <c r="A645" s="811" t="s">
        <v>767</v>
      </c>
      <c r="B645" s="810" t="s">
        <v>769</v>
      </c>
      <c r="C645" s="804" t="s">
        <v>51</v>
      </c>
      <c r="D645" s="801" t="s">
        <v>31</v>
      </c>
      <c r="E645" s="779">
        <f>NCong!N609</f>
        <v>1766250.9117000003</v>
      </c>
      <c r="F645" s="779"/>
      <c r="G645" s="779">
        <f t="shared" ref="G645:J645" si="1252">G636</f>
        <v>15622.70412820513</v>
      </c>
      <c r="H645" s="779">
        <f t="shared" si="1252"/>
        <v>27173.82</v>
      </c>
      <c r="I645" s="779">
        <f t="shared" si="1252"/>
        <v>13858.50575</v>
      </c>
      <c r="J645" s="779">
        <f t="shared" si="1252"/>
        <v>31878.212100000001</v>
      </c>
      <c r="K645" s="776">
        <f t="shared" si="1246"/>
        <v>1854784.1536782053</v>
      </c>
      <c r="L645" s="776">
        <f t="shared" si="1247"/>
        <v>278217.6230517308</v>
      </c>
      <c r="M645" s="776">
        <f t="shared" si="1248"/>
        <v>2133001.7767299362</v>
      </c>
      <c r="N645" s="776">
        <f t="shared" si="1249"/>
        <v>1840925.6479282053</v>
      </c>
      <c r="O645" s="776">
        <f t="shared" si="1250"/>
        <v>276138.84718923079</v>
      </c>
      <c r="P645" s="776">
        <f t="shared" si="1251"/>
        <v>2117064.4951174362</v>
      </c>
      <c r="Q645" s="779">
        <f>NCong!Q609</f>
        <v>50159.663230769234</v>
      </c>
    </row>
    <row r="646" spans="1:17" s="780" customFormat="1">
      <c r="A646" s="811" t="s">
        <v>767</v>
      </c>
      <c r="B646" s="810" t="s">
        <v>770</v>
      </c>
      <c r="C646" s="804" t="s">
        <v>51</v>
      </c>
      <c r="D646" s="801" t="s">
        <v>31</v>
      </c>
      <c r="E646" s="779">
        <f>NCong!O609</f>
        <v>2274968.2708500004</v>
      </c>
      <c r="F646" s="779"/>
      <c r="G646" s="779">
        <f t="shared" ref="G646:J646" si="1253">G637</f>
        <v>20309.51536666667</v>
      </c>
      <c r="H646" s="779">
        <f t="shared" si="1253"/>
        <v>27173.82</v>
      </c>
      <c r="I646" s="779">
        <f t="shared" si="1253"/>
        <v>18016.057475000001</v>
      </c>
      <c r="J646" s="779">
        <f t="shared" si="1253"/>
        <v>41441.675730000003</v>
      </c>
      <c r="K646" s="776">
        <f t="shared" si="1246"/>
        <v>2381909.3394216667</v>
      </c>
      <c r="L646" s="776">
        <f t="shared" si="1247"/>
        <v>357286.40091324999</v>
      </c>
      <c r="M646" s="776">
        <f t="shared" si="1248"/>
        <v>2739195.7403349169</v>
      </c>
      <c r="N646" s="776">
        <f t="shared" si="1249"/>
        <v>2363893.2819466665</v>
      </c>
      <c r="O646" s="776">
        <f t="shared" si="1250"/>
        <v>354583.99229199998</v>
      </c>
      <c r="P646" s="776">
        <f t="shared" si="1251"/>
        <v>2718477.2742386665</v>
      </c>
      <c r="Q646" s="779">
        <f>NCong!R609</f>
        <v>64593.468923076922</v>
      </c>
    </row>
    <row r="647" spans="1:17" s="780" customFormat="1">
      <c r="A647" s="771">
        <v>16.2</v>
      </c>
      <c r="B647" s="808" t="s">
        <v>772</v>
      </c>
      <c r="C647" s="804" t="s">
        <v>51</v>
      </c>
      <c r="D647" s="801" t="s">
        <v>31</v>
      </c>
      <c r="E647" s="779"/>
      <c r="F647" s="779"/>
      <c r="G647" s="779"/>
      <c r="H647" s="779"/>
      <c r="I647" s="779"/>
      <c r="J647" s="779"/>
      <c r="K647" s="779"/>
      <c r="L647" s="779"/>
      <c r="M647" s="779"/>
      <c r="N647" s="779"/>
      <c r="O647" s="779"/>
      <c r="P647" s="779"/>
      <c r="Q647" s="779"/>
    </row>
    <row r="648" spans="1:17" s="780" customFormat="1">
      <c r="A648" s="811" t="s">
        <v>767</v>
      </c>
      <c r="B648" s="810" t="s">
        <v>768</v>
      </c>
      <c r="C648" s="804" t="s">
        <v>51</v>
      </c>
      <c r="D648" s="801" t="s">
        <v>31</v>
      </c>
      <c r="E648" s="779">
        <f>E644</f>
        <v>1770049.4031000002</v>
      </c>
      <c r="F648" s="779"/>
      <c r="G648" s="779">
        <f t="shared" ref="G648:J648" si="1254">G639</f>
        <v>9373.6224769230776</v>
      </c>
      <c r="H648" s="779">
        <f t="shared" si="1254"/>
        <v>7632.2919999999995</v>
      </c>
      <c r="I648" s="779">
        <f t="shared" si="1254"/>
        <v>8315.1034500000005</v>
      </c>
      <c r="J648" s="779">
        <f t="shared" si="1254"/>
        <v>19126.92726</v>
      </c>
      <c r="K648" s="776">
        <f t="shared" ref="K648:K650" si="1255">SUM(E648:J648)</f>
        <v>1814497.3482869233</v>
      </c>
      <c r="L648" s="776">
        <f t="shared" ref="L648:L650" si="1256">K648*15%</f>
        <v>272174.60224303848</v>
      </c>
      <c r="M648" s="776">
        <f t="shared" ref="M648:M650" si="1257">K648+L648</f>
        <v>2086671.9505299618</v>
      </c>
      <c r="N648" s="776">
        <f t="shared" ref="N648:N650" si="1258">K648-I648</f>
        <v>1806182.2448369232</v>
      </c>
      <c r="O648" s="776">
        <f t="shared" ref="O648:O650" si="1259">$L$6*N648</f>
        <v>270927.33672553848</v>
      </c>
      <c r="P648" s="776">
        <f t="shared" ref="P648:P650" si="1260">N648+O648</f>
        <v>2077109.5815624618</v>
      </c>
      <c r="Q648" s="779">
        <f>Q644</f>
        <v>50255.764307692312</v>
      </c>
    </row>
    <row r="649" spans="1:17" s="780" customFormat="1">
      <c r="A649" s="811" t="s">
        <v>767</v>
      </c>
      <c r="B649" s="810" t="s">
        <v>769</v>
      </c>
      <c r="C649" s="804" t="s">
        <v>51</v>
      </c>
      <c r="D649" s="801" t="s">
        <v>31</v>
      </c>
      <c r="E649" s="779">
        <f t="shared" ref="E649:E650" si="1261">E645</f>
        <v>1766250.9117000003</v>
      </c>
      <c r="F649" s="779"/>
      <c r="G649" s="779">
        <f t="shared" ref="G649:J649" si="1262">G640</f>
        <v>9373.6224769230776</v>
      </c>
      <c r="H649" s="779">
        <f t="shared" si="1262"/>
        <v>7632.2919999999995</v>
      </c>
      <c r="I649" s="779">
        <f t="shared" si="1262"/>
        <v>8315.1034500000005</v>
      </c>
      <c r="J649" s="779">
        <f t="shared" si="1262"/>
        <v>19126.92726</v>
      </c>
      <c r="K649" s="776">
        <f t="shared" si="1255"/>
        <v>1810698.8568869233</v>
      </c>
      <c r="L649" s="776">
        <f t="shared" si="1256"/>
        <v>271604.8285330385</v>
      </c>
      <c r="M649" s="776">
        <f t="shared" si="1257"/>
        <v>2082303.6854199618</v>
      </c>
      <c r="N649" s="776">
        <f t="shared" si="1258"/>
        <v>1802383.7534369233</v>
      </c>
      <c r="O649" s="776">
        <f t="shared" si="1259"/>
        <v>270357.5630155385</v>
      </c>
      <c r="P649" s="776">
        <f t="shared" si="1260"/>
        <v>2072741.3164524618</v>
      </c>
      <c r="Q649" s="779">
        <f t="shared" ref="Q649:Q650" si="1263">Q645</f>
        <v>50159.663230769234</v>
      </c>
    </row>
    <row r="650" spans="1:17" s="780" customFormat="1">
      <c r="A650" s="811" t="s">
        <v>767</v>
      </c>
      <c r="B650" s="810" t="s">
        <v>770</v>
      </c>
      <c r="C650" s="804" t="s">
        <v>51</v>
      </c>
      <c r="D650" s="801" t="s">
        <v>31</v>
      </c>
      <c r="E650" s="779">
        <f t="shared" si="1261"/>
        <v>2274968.2708500004</v>
      </c>
      <c r="F650" s="779"/>
      <c r="G650" s="779">
        <f t="shared" ref="G650:J650" si="1264">G641</f>
        <v>12185.709220000001</v>
      </c>
      <c r="H650" s="779">
        <f t="shared" si="1264"/>
        <v>7632.2919999999995</v>
      </c>
      <c r="I650" s="779">
        <f t="shared" si="1264"/>
        <v>10809.634485</v>
      </c>
      <c r="J650" s="779">
        <f t="shared" si="1264"/>
        <v>24865.005438</v>
      </c>
      <c r="K650" s="776">
        <f t="shared" si="1255"/>
        <v>2330460.9119930002</v>
      </c>
      <c r="L650" s="776">
        <f t="shared" si="1256"/>
        <v>349569.13679895003</v>
      </c>
      <c r="M650" s="776">
        <f t="shared" si="1257"/>
        <v>2680030.0487919501</v>
      </c>
      <c r="N650" s="776">
        <f t="shared" si="1258"/>
        <v>2319651.2775080004</v>
      </c>
      <c r="O650" s="776">
        <f t="shared" si="1259"/>
        <v>347947.69162620004</v>
      </c>
      <c r="P650" s="776">
        <f t="shared" si="1260"/>
        <v>2667598.9691342004</v>
      </c>
      <c r="Q650" s="779">
        <f t="shared" si="1263"/>
        <v>64593.468923076922</v>
      </c>
    </row>
    <row r="651" spans="1:17" s="780" customFormat="1" ht="14">
      <c r="A651" s="771">
        <v>17</v>
      </c>
      <c r="B651" s="774" t="s">
        <v>292</v>
      </c>
      <c r="C651" s="771" t="s">
        <v>51</v>
      </c>
      <c r="D651" s="771" t="s">
        <v>31</v>
      </c>
      <c r="E651" s="779"/>
      <c r="F651" s="779"/>
      <c r="G651" s="779"/>
      <c r="H651" s="779"/>
      <c r="I651" s="779"/>
      <c r="J651" s="779"/>
      <c r="K651" s="779"/>
      <c r="L651" s="779"/>
      <c r="M651" s="779"/>
      <c r="N651" s="779"/>
      <c r="O651" s="779"/>
      <c r="P651" s="779"/>
      <c r="Q651" s="779"/>
    </row>
    <row r="652" spans="1:17" s="780" customFormat="1">
      <c r="A652" s="771">
        <v>17.100000000000001</v>
      </c>
      <c r="B652" s="808" t="s">
        <v>771</v>
      </c>
      <c r="C652" s="804" t="s">
        <v>51</v>
      </c>
      <c r="D652" s="801" t="s">
        <v>31</v>
      </c>
      <c r="E652" s="779"/>
      <c r="F652" s="779"/>
      <c r="G652" s="779"/>
      <c r="H652" s="779"/>
      <c r="I652" s="779"/>
      <c r="J652" s="779"/>
      <c r="K652" s="779"/>
      <c r="L652" s="779"/>
      <c r="M652" s="779"/>
      <c r="N652" s="779"/>
      <c r="O652" s="779"/>
      <c r="P652" s="779"/>
      <c r="Q652" s="779"/>
    </row>
    <row r="653" spans="1:17" s="780" customFormat="1">
      <c r="A653" s="811" t="s">
        <v>767</v>
      </c>
      <c r="B653" s="810" t="s">
        <v>768</v>
      </c>
      <c r="C653" s="804" t="s">
        <v>51</v>
      </c>
      <c r="D653" s="801" t="s">
        <v>31</v>
      </c>
      <c r="E653" s="779">
        <f>NCong!M610</f>
        <v>1781090.1207000001</v>
      </c>
      <c r="F653" s="779"/>
      <c r="G653" s="779">
        <f>G644</f>
        <v>15622.70412820513</v>
      </c>
      <c r="H653" s="779">
        <f t="shared" ref="H653:J653" si="1265">H644</f>
        <v>27173.82</v>
      </c>
      <c r="I653" s="779">
        <f t="shared" si="1265"/>
        <v>13858.50575</v>
      </c>
      <c r="J653" s="779">
        <f t="shared" si="1265"/>
        <v>31878.212100000001</v>
      </c>
      <c r="K653" s="776">
        <f t="shared" ref="K653:K655" si="1266">SUM(E653:J653)</f>
        <v>1869623.3626782051</v>
      </c>
      <c r="L653" s="776">
        <f t="shared" ref="L653:L655" si="1267">K653*15%</f>
        <v>280443.50440173078</v>
      </c>
      <c r="M653" s="776">
        <f t="shared" ref="M653:M655" si="1268">K653+L653</f>
        <v>2150066.867079936</v>
      </c>
      <c r="N653" s="776">
        <f t="shared" ref="N653:N655" si="1269">K653-I653</f>
        <v>1855764.8569282051</v>
      </c>
      <c r="O653" s="776">
        <f t="shared" ref="O653:O655" si="1270">$L$6*N653</f>
        <v>278364.72853923077</v>
      </c>
      <c r="P653" s="776">
        <f t="shared" ref="P653:P655" si="1271">N653+O653</f>
        <v>2134129.5854674359</v>
      </c>
      <c r="Q653" s="779">
        <f>NCong!P610</f>
        <v>50553.75938461539</v>
      </c>
    </row>
    <row r="654" spans="1:17" s="780" customFormat="1">
      <c r="A654" s="811" t="s">
        <v>767</v>
      </c>
      <c r="B654" s="810" t="s">
        <v>769</v>
      </c>
      <c r="C654" s="804" t="s">
        <v>51</v>
      </c>
      <c r="D654" s="801" t="s">
        <v>31</v>
      </c>
      <c r="E654" s="779">
        <f>NCong!N610</f>
        <v>1772649.5094000003</v>
      </c>
      <c r="F654" s="779"/>
      <c r="G654" s="779">
        <f t="shared" ref="G654:J654" si="1272">G645</f>
        <v>15622.70412820513</v>
      </c>
      <c r="H654" s="779">
        <f t="shared" si="1272"/>
        <v>27173.82</v>
      </c>
      <c r="I654" s="779">
        <f t="shared" si="1272"/>
        <v>13858.50575</v>
      </c>
      <c r="J654" s="779">
        <f t="shared" si="1272"/>
        <v>31878.212100000001</v>
      </c>
      <c r="K654" s="776">
        <f t="shared" si="1266"/>
        <v>1861182.7513782054</v>
      </c>
      <c r="L654" s="776">
        <f t="shared" si="1267"/>
        <v>279177.41270673077</v>
      </c>
      <c r="M654" s="776">
        <f t="shared" si="1268"/>
        <v>2140360.164084936</v>
      </c>
      <c r="N654" s="776">
        <f t="shared" si="1269"/>
        <v>1847324.2456282054</v>
      </c>
      <c r="O654" s="776">
        <f t="shared" si="1270"/>
        <v>277098.63684423082</v>
      </c>
      <c r="P654" s="776">
        <f t="shared" si="1271"/>
        <v>2124422.8824724359</v>
      </c>
      <c r="Q654" s="779">
        <f>NCong!Q610</f>
        <v>50332.364923076922</v>
      </c>
    </row>
    <row r="655" spans="1:17" s="780" customFormat="1">
      <c r="A655" s="811" t="s">
        <v>767</v>
      </c>
      <c r="B655" s="810" t="s">
        <v>770</v>
      </c>
      <c r="C655" s="804" t="s">
        <v>51</v>
      </c>
      <c r="D655" s="801" t="s">
        <v>31</v>
      </c>
      <c r="E655" s="779">
        <f>NCong!O610</f>
        <v>2289772.8694500001</v>
      </c>
      <c r="F655" s="779"/>
      <c r="G655" s="779">
        <f t="shared" ref="G655:J655" si="1273">G646</f>
        <v>20309.51536666667</v>
      </c>
      <c r="H655" s="779">
        <f t="shared" si="1273"/>
        <v>27173.82</v>
      </c>
      <c r="I655" s="779">
        <f t="shared" si="1273"/>
        <v>18016.057475000001</v>
      </c>
      <c r="J655" s="779">
        <f t="shared" si="1273"/>
        <v>41441.675730000003</v>
      </c>
      <c r="K655" s="776">
        <f t="shared" si="1266"/>
        <v>2396713.9380216664</v>
      </c>
      <c r="L655" s="776">
        <f t="shared" si="1267"/>
        <v>359507.09070324997</v>
      </c>
      <c r="M655" s="776">
        <f t="shared" si="1268"/>
        <v>2756221.0287249163</v>
      </c>
      <c r="N655" s="776">
        <f t="shared" si="1269"/>
        <v>2378697.8805466662</v>
      </c>
      <c r="O655" s="776">
        <f t="shared" si="1270"/>
        <v>356804.6820819999</v>
      </c>
      <c r="P655" s="776">
        <f t="shared" si="1271"/>
        <v>2735502.5626286659</v>
      </c>
      <c r="Q655" s="779">
        <f>NCong!R610</f>
        <v>64993.053230769234</v>
      </c>
    </row>
    <row r="656" spans="1:17" s="780" customFormat="1">
      <c r="A656" s="771">
        <v>17.2</v>
      </c>
      <c r="B656" s="808" t="s">
        <v>772</v>
      </c>
      <c r="C656" s="804" t="s">
        <v>51</v>
      </c>
      <c r="D656" s="801" t="s">
        <v>31</v>
      </c>
      <c r="E656" s="779"/>
      <c r="F656" s="779"/>
      <c r="G656" s="779"/>
      <c r="H656" s="779"/>
      <c r="I656" s="779"/>
      <c r="J656" s="779"/>
      <c r="K656" s="779"/>
      <c r="L656" s="779"/>
      <c r="M656" s="779"/>
      <c r="N656" s="779"/>
      <c r="O656" s="779"/>
      <c r="P656" s="779"/>
      <c r="Q656" s="779"/>
    </row>
    <row r="657" spans="1:17" s="780" customFormat="1">
      <c r="A657" s="811" t="s">
        <v>767</v>
      </c>
      <c r="B657" s="810" t="s">
        <v>768</v>
      </c>
      <c r="C657" s="804" t="s">
        <v>51</v>
      </c>
      <c r="D657" s="801" t="s">
        <v>31</v>
      </c>
      <c r="E657" s="779">
        <f>E653</f>
        <v>1781090.1207000001</v>
      </c>
      <c r="F657" s="779"/>
      <c r="G657" s="779">
        <f t="shared" ref="G657:J657" si="1274">G648</f>
        <v>9373.6224769230776</v>
      </c>
      <c r="H657" s="779">
        <f t="shared" si="1274"/>
        <v>7632.2919999999995</v>
      </c>
      <c r="I657" s="779">
        <f t="shared" si="1274"/>
        <v>8315.1034500000005</v>
      </c>
      <c r="J657" s="779">
        <f t="shared" si="1274"/>
        <v>19126.92726</v>
      </c>
      <c r="K657" s="776">
        <f t="shared" ref="K657:K659" si="1275">SUM(E657:J657)</f>
        <v>1825538.0658869231</v>
      </c>
      <c r="L657" s="776">
        <f t="shared" ref="L657:L659" si="1276">K657*15%</f>
        <v>273830.70988303848</v>
      </c>
      <c r="M657" s="776">
        <f t="shared" ref="M657:M659" si="1277">K657+L657</f>
        <v>2099368.7757699615</v>
      </c>
      <c r="N657" s="776">
        <f t="shared" ref="N657:N659" si="1278">K657-I657</f>
        <v>1817222.9624369231</v>
      </c>
      <c r="O657" s="776">
        <f t="shared" ref="O657:O659" si="1279">$L$6*N657</f>
        <v>272583.44436553842</v>
      </c>
      <c r="P657" s="776">
        <f t="shared" ref="P657:P659" si="1280">N657+O657</f>
        <v>2089806.4068024615</v>
      </c>
      <c r="Q657" s="779">
        <f>Q653</f>
        <v>50553.75938461539</v>
      </c>
    </row>
    <row r="658" spans="1:17" s="780" customFormat="1">
      <c r="A658" s="811" t="s">
        <v>767</v>
      </c>
      <c r="B658" s="810" t="s">
        <v>769</v>
      </c>
      <c r="C658" s="804" t="s">
        <v>51</v>
      </c>
      <c r="D658" s="801" t="s">
        <v>31</v>
      </c>
      <c r="E658" s="779">
        <f t="shared" ref="E658:E659" si="1281">E654</f>
        <v>1772649.5094000003</v>
      </c>
      <c r="F658" s="779"/>
      <c r="G658" s="779">
        <f t="shared" ref="G658:J658" si="1282">G649</f>
        <v>9373.6224769230776</v>
      </c>
      <c r="H658" s="779">
        <f t="shared" si="1282"/>
        <v>7632.2919999999995</v>
      </c>
      <c r="I658" s="779">
        <f t="shared" si="1282"/>
        <v>8315.1034500000005</v>
      </c>
      <c r="J658" s="779">
        <f t="shared" si="1282"/>
        <v>19126.92726</v>
      </c>
      <c r="K658" s="776">
        <f t="shared" si="1275"/>
        <v>1817097.4545869234</v>
      </c>
      <c r="L658" s="776">
        <f t="shared" si="1276"/>
        <v>272564.61818803847</v>
      </c>
      <c r="M658" s="776">
        <f t="shared" si="1277"/>
        <v>2089662.0727749618</v>
      </c>
      <c r="N658" s="776">
        <f t="shared" si="1278"/>
        <v>1808782.3511369233</v>
      </c>
      <c r="O658" s="776">
        <f t="shared" si="1279"/>
        <v>271317.35267053847</v>
      </c>
      <c r="P658" s="776">
        <f t="shared" si="1280"/>
        <v>2080099.7038074618</v>
      </c>
      <c r="Q658" s="779">
        <f t="shared" ref="Q658:Q659" si="1283">Q654</f>
        <v>50332.364923076922</v>
      </c>
    </row>
    <row r="659" spans="1:17" s="780" customFormat="1">
      <c r="A659" s="811" t="s">
        <v>767</v>
      </c>
      <c r="B659" s="810" t="s">
        <v>770</v>
      </c>
      <c r="C659" s="804" t="s">
        <v>51</v>
      </c>
      <c r="D659" s="801" t="s">
        <v>31</v>
      </c>
      <c r="E659" s="779">
        <f t="shared" si="1281"/>
        <v>2289772.8694500001</v>
      </c>
      <c r="F659" s="779"/>
      <c r="G659" s="779">
        <f t="shared" ref="G659:J659" si="1284">G650</f>
        <v>12185.709220000001</v>
      </c>
      <c r="H659" s="779">
        <f t="shared" si="1284"/>
        <v>7632.2919999999995</v>
      </c>
      <c r="I659" s="779">
        <f t="shared" si="1284"/>
        <v>10809.634485</v>
      </c>
      <c r="J659" s="779">
        <f t="shared" si="1284"/>
        <v>24865.005438</v>
      </c>
      <c r="K659" s="776">
        <f t="shared" si="1275"/>
        <v>2345265.5105929999</v>
      </c>
      <c r="L659" s="776">
        <f t="shared" si="1276"/>
        <v>351789.82658894995</v>
      </c>
      <c r="M659" s="776">
        <f t="shared" si="1277"/>
        <v>2697055.33718195</v>
      </c>
      <c r="N659" s="776">
        <f t="shared" si="1278"/>
        <v>2334455.8761080001</v>
      </c>
      <c r="O659" s="776">
        <f t="shared" si="1279"/>
        <v>350168.38141620002</v>
      </c>
      <c r="P659" s="776">
        <f t="shared" si="1280"/>
        <v>2684624.2575242002</v>
      </c>
      <c r="Q659" s="779">
        <f t="shared" si="1283"/>
        <v>64993.053230769234</v>
      </c>
    </row>
    <row r="660" spans="1:17" s="780" customFormat="1">
      <c r="A660" s="771">
        <v>18</v>
      </c>
      <c r="B660" s="774" t="s">
        <v>270</v>
      </c>
      <c r="C660" s="771" t="s">
        <v>51</v>
      </c>
      <c r="D660" s="771" t="s">
        <v>31</v>
      </c>
      <c r="E660" s="779"/>
      <c r="F660" s="779"/>
      <c r="G660" s="779"/>
      <c r="H660" s="779"/>
      <c r="I660" s="779"/>
      <c r="J660" s="779"/>
      <c r="K660" s="779"/>
      <c r="L660" s="779"/>
      <c r="M660" s="779"/>
      <c r="N660" s="779"/>
      <c r="O660" s="779"/>
      <c r="P660" s="779"/>
      <c r="Q660" s="779"/>
    </row>
    <row r="661" spans="1:17" s="780" customFormat="1">
      <c r="A661" s="771">
        <v>18.100000000000001</v>
      </c>
      <c r="B661" s="808" t="s">
        <v>771</v>
      </c>
      <c r="C661" s="804" t="s">
        <v>51</v>
      </c>
      <c r="D661" s="801" t="s">
        <v>31</v>
      </c>
      <c r="E661" s="779"/>
      <c r="F661" s="779"/>
      <c r="G661" s="779"/>
      <c r="H661" s="779"/>
      <c r="I661" s="779"/>
      <c r="J661" s="779"/>
      <c r="K661" s="779"/>
      <c r="L661" s="779"/>
      <c r="M661" s="779"/>
      <c r="N661" s="779"/>
      <c r="O661" s="779"/>
      <c r="P661" s="779"/>
      <c r="Q661" s="779"/>
    </row>
    <row r="662" spans="1:17" s="780" customFormat="1">
      <c r="A662" s="811" t="s">
        <v>767</v>
      </c>
      <c r="B662" s="810" t="s">
        <v>768</v>
      </c>
      <c r="C662" s="804" t="s">
        <v>51</v>
      </c>
      <c r="D662" s="801" t="s">
        <v>31</v>
      </c>
      <c r="E662" s="779">
        <f>NCong!M611</f>
        <v>1774173.8091000002</v>
      </c>
      <c r="F662" s="779"/>
      <c r="G662" s="779">
        <f>G653</f>
        <v>15622.70412820513</v>
      </c>
      <c r="H662" s="779">
        <f t="shared" ref="H662:J662" si="1285">H653</f>
        <v>27173.82</v>
      </c>
      <c r="I662" s="779">
        <f t="shared" si="1285"/>
        <v>13858.50575</v>
      </c>
      <c r="J662" s="779">
        <f t="shared" si="1285"/>
        <v>31878.212100000001</v>
      </c>
      <c r="K662" s="776">
        <f t="shared" ref="K662:K664" si="1286">SUM(E662:J662)</f>
        <v>1862707.0510782052</v>
      </c>
      <c r="L662" s="776">
        <f t="shared" ref="L662:L664" si="1287">K662*15%</f>
        <v>279406.0576617308</v>
      </c>
      <c r="M662" s="776">
        <f t="shared" ref="M662:M664" si="1288">K662+L662</f>
        <v>2142113.1087399358</v>
      </c>
      <c r="N662" s="776">
        <f t="shared" ref="N662:N664" si="1289">K662-I662</f>
        <v>1848848.5453282052</v>
      </c>
      <c r="O662" s="776">
        <f t="shared" ref="O662:O664" si="1290">$L$6*N662</f>
        <v>277327.28179923078</v>
      </c>
      <c r="P662" s="776">
        <f t="shared" ref="P662:P664" si="1291">N662+O662</f>
        <v>2126175.8271274362</v>
      </c>
      <c r="Q662" s="779">
        <f>NCong!P611</f>
        <v>50367.084307692312</v>
      </c>
    </row>
    <row r="663" spans="1:17" s="780" customFormat="1">
      <c r="A663" s="811" t="s">
        <v>767</v>
      </c>
      <c r="B663" s="810" t="s">
        <v>769</v>
      </c>
      <c r="C663" s="804" t="s">
        <v>51</v>
      </c>
      <c r="D663" s="801" t="s">
        <v>31</v>
      </c>
      <c r="E663" s="779">
        <f>NCong!N611</f>
        <v>1768641.1924500002</v>
      </c>
      <c r="F663" s="779"/>
      <c r="G663" s="779">
        <f t="shared" ref="G663:J663" si="1292">G654</f>
        <v>15622.70412820513</v>
      </c>
      <c r="H663" s="779">
        <f t="shared" si="1292"/>
        <v>27173.82</v>
      </c>
      <c r="I663" s="779">
        <f t="shared" si="1292"/>
        <v>13858.50575</v>
      </c>
      <c r="J663" s="779">
        <f t="shared" si="1292"/>
        <v>31878.212100000001</v>
      </c>
      <c r="K663" s="776">
        <f t="shared" si="1286"/>
        <v>1857174.4344282052</v>
      </c>
      <c r="L663" s="776">
        <f t="shared" si="1287"/>
        <v>278576.1651642308</v>
      </c>
      <c r="M663" s="776">
        <f t="shared" si="1288"/>
        <v>2135750.5995924361</v>
      </c>
      <c r="N663" s="776">
        <f t="shared" si="1289"/>
        <v>1843315.9286782052</v>
      </c>
      <c r="O663" s="776">
        <f t="shared" si="1290"/>
        <v>276497.38930173079</v>
      </c>
      <c r="P663" s="776">
        <f t="shared" si="1291"/>
        <v>2119813.317979936</v>
      </c>
      <c r="Q663" s="779">
        <f>NCong!Q611</f>
        <v>50224.178230769234</v>
      </c>
    </row>
    <row r="664" spans="1:17" s="780" customFormat="1">
      <c r="A664" s="811" t="s">
        <v>767</v>
      </c>
      <c r="B664" s="810" t="s">
        <v>770</v>
      </c>
      <c r="C664" s="804" t="s">
        <v>51</v>
      </c>
      <c r="D664" s="801" t="s">
        <v>31</v>
      </c>
      <c r="E664" s="779">
        <f>NCong!O611</f>
        <v>2280498.7243500003</v>
      </c>
      <c r="F664" s="779"/>
      <c r="G664" s="779">
        <f t="shared" ref="G664:J664" si="1293">G655</f>
        <v>20309.51536666667</v>
      </c>
      <c r="H664" s="779">
        <f t="shared" si="1293"/>
        <v>27173.82</v>
      </c>
      <c r="I664" s="779">
        <f t="shared" si="1293"/>
        <v>18016.057475000001</v>
      </c>
      <c r="J664" s="779">
        <f t="shared" si="1293"/>
        <v>41441.675730000003</v>
      </c>
      <c r="K664" s="776">
        <f t="shared" si="1286"/>
        <v>2387439.7929216665</v>
      </c>
      <c r="L664" s="776">
        <f t="shared" si="1287"/>
        <v>358115.96893824998</v>
      </c>
      <c r="M664" s="776">
        <f t="shared" si="1288"/>
        <v>2745555.7618599166</v>
      </c>
      <c r="N664" s="776">
        <f t="shared" si="1289"/>
        <v>2369423.7354466664</v>
      </c>
      <c r="O664" s="776">
        <f t="shared" si="1290"/>
        <v>355413.56031699997</v>
      </c>
      <c r="P664" s="776">
        <f t="shared" si="1291"/>
        <v>2724837.2957636663</v>
      </c>
      <c r="Q664" s="779">
        <f>NCong!R611</f>
        <v>64742.738923076926</v>
      </c>
    </row>
    <row r="665" spans="1:17" s="780" customFormat="1">
      <c r="A665" s="771">
        <v>18.2</v>
      </c>
      <c r="B665" s="808" t="s">
        <v>772</v>
      </c>
      <c r="C665" s="804" t="s">
        <v>51</v>
      </c>
      <c r="D665" s="801" t="s">
        <v>31</v>
      </c>
      <c r="E665" s="779"/>
      <c r="F665" s="779"/>
      <c r="G665" s="779"/>
      <c r="H665" s="779"/>
      <c r="I665" s="779"/>
      <c r="J665" s="779"/>
      <c r="K665" s="779"/>
      <c r="L665" s="779"/>
      <c r="M665" s="779"/>
      <c r="N665" s="779"/>
      <c r="O665" s="779"/>
      <c r="P665" s="779"/>
      <c r="Q665" s="779"/>
    </row>
    <row r="666" spans="1:17" s="780" customFormat="1">
      <c r="A666" s="811" t="s">
        <v>767</v>
      </c>
      <c r="B666" s="810" t="s">
        <v>768</v>
      </c>
      <c r="C666" s="804" t="s">
        <v>51</v>
      </c>
      <c r="D666" s="801" t="s">
        <v>31</v>
      </c>
      <c r="E666" s="779">
        <f>E662</f>
        <v>1774173.8091000002</v>
      </c>
      <c r="F666" s="779"/>
      <c r="G666" s="779">
        <f t="shared" ref="G666:J666" si="1294">G657</f>
        <v>9373.6224769230776</v>
      </c>
      <c r="H666" s="779">
        <f t="shared" si="1294"/>
        <v>7632.2919999999995</v>
      </c>
      <c r="I666" s="779">
        <f t="shared" si="1294"/>
        <v>8315.1034500000005</v>
      </c>
      <c r="J666" s="779">
        <f t="shared" si="1294"/>
        <v>19126.92726</v>
      </c>
      <c r="K666" s="776">
        <f t="shared" ref="K666:K668" si="1295">SUM(E666:J666)</f>
        <v>1818621.7542869232</v>
      </c>
      <c r="L666" s="776">
        <f t="shared" ref="L666:L668" si="1296">K666*15%</f>
        <v>272793.26314303849</v>
      </c>
      <c r="M666" s="776">
        <f t="shared" ref="M666:M668" si="1297">K666+L666</f>
        <v>2091415.0174299618</v>
      </c>
      <c r="N666" s="776">
        <f t="shared" ref="N666:N668" si="1298">K666-I666</f>
        <v>1810306.6508369232</v>
      </c>
      <c r="O666" s="776">
        <f t="shared" ref="O666:O668" si="1299">$L$6*N666</f>
        <v>271545.99762553844</v>
      </c>
      <c r="P666" s="776">
        <f t="shared" ref="P666:P668" si="1300">N666+O666</f>
        <v>2081852.6484624615</v>
      </c>
      <c r="Q666" s="779">
        <f>Q662</f>
        <v>50367.084307692312</v>
      </c>
    </row>
    <row r="667" spans="1:17" s="780" customFormat="1">
      <c r="A667" s="811" t="s">
        <v>767</v>
      </c>
      <c r="B667" s="810" t="s">
        <v>769</v>
      </c>
      <c r="C667" s="804" t="s">
        <v>51</v>
      </c>
      <c r="D667" s="801" t="s">
        <v>31</v>
      </c>
      <c r="E667" s="779">
        <f t="shared" ref="E667:E668" si="1301">E663</f>
        <v>1768641.1924500002</v>
      </c>
      <c r="F667" s="779"/>
      <c r="G667" s="779">
        <f t="shared" ref="G667:J667" si="1302">G658</f>
        <v>9373.6224769230776</v>
      </c>
      <c r="H667" s="779">
        <f t="shared" si="1302"/>
        <v>7632.2919999999995</v>
      </c>
      <c r="I667" s="779">
        <f t="shared" si="1302"/>
        <v>8315.1034500000005</v>
      </c>
      <c r="J667" s="779">
        <f t="shared" si="1302"/>
        <v>19126.92726</v>
      </c>
      <c r="K667" s="776">
        <f t="shared" si="1295"/>
        <v>1813089.1376369232</v>
      </c>
      <c r="L667" s="776">
        <f t="shared" si="1296"/>
        <v>271963.3706455385</v>
      </c>
      <c r="M667" s="776">
        <f t="shared" si="1297"/>
        <v>2085052.5082824617</v>
      </c>
      <c r="N667" s="776">
        <f t="shared" si="1298"/>
        <v>1804774.0341869232</v>
      </c>
      <c r="O667" s="776">
        <f t="shared" si="1299"/>
        <v>270716.10512803844</v>
      </c>
      <c r="P667" s="776">
        <f t="shared" si="1300"/>
        <v>2075490.1393149616</v>
      </c>
      <c r="Q667" s="779">
        <f t="shared" ref="Q667:Q668" si="1303">Q663</f>
        <v>50224.178230769234</v>
      </c>
    </row>
    <row r="668" spans="1:17" s="780" customFormat="1">
      <c r="A668" s="811" t="s">
        <v>767</v>
      </c>
      <c r="B668" s="810" t="s">
        <v>770</v>
      </c>
      <c r="C668" s="804" t="s">
        <v>51</v>
      </c>
      <c r="D668" s="801" t="s">
        <v>31</v>
      </c>
      <c r="E668" s="779">
        <f t="shared" si="1301"/>
        <v>2280498.7243500003</v>
      </c>
      <c r="F668" s="779"/>
      <c r="G668" s="779">
        <f t="shared" ref="G668:J668" si="1304">G659</f>
        <v>12185.709220000001</v>
      </c>
      <c r="H668" s="779">
        <f t="shared" si="1304"/>
        <v>7632.2919999999995</v>
      </c>
      <c r="I668" s="779">
        <f t="shared" si="1304"/>
        <v>10809.634485</v>
      </c>
      <c r="J668" s="779">
        <f t="shared" si="1304"/>
        <v>24865.005438</v>
      </c>
      <c r="K668" s="776">
        <f t="shared" si="1295"/>
        <v>2335991.365493</v>
      </c>
      <c r="L668" s="776">
        <f t="shared" si="1296"/>
        <v>350398.70482395001</v>
      </c>
      <c r="M668" s="776">
        <f t="shared" si="1297"/>
        <v>2686390.0703169499</v>
      </c>
      <c r="N668" s="776">
        <f t="shared" si="1298"/>
        <v>2325181.7310080002</v>
      </c>
      <c r="O668" s="776">
        <f t="shared" si="1299"/>
        <v>348777.25965120003</v>
      </c>
      <c r="P668" s="776">
        <f t="shared" si="1300"/>
        <v>2673958.9906592001</v>
      </c>
      <c r="Q668" s="779">
        <f t="shared" si="1303"/>
        <v>64742.738923076926</v>
      </c>
    </row>
    <row r="669" spans="1:17" s="780" customFormat="1">
      <c r="A669" s="771">
        <v>19</v>
      </c>
      <c r="B669" s="808" t="s">
        <v>272</v>
      </c>
      <c r="C669" s="771" t="s">
        <v>51</v>
      </c>
      <c r="D669" s="771" t="s">
        <v>31</v>
      </c>
      <c r="E669" s="779"/>
      <c r="F669" s="779"/>
      <c r="G669" s="779"/>
      <c r="H669" s="779"/>
      <c r="I669" s="779"/>
      <c r="J669" s="779"/>
      <c r="K669" s="779"/>
      <c r="L669" s="779"/>
      <c r="M669" s="779"/>
      <c r="N669" s="779"/>
      <c r="O669" s="779"/>
      <c r="P669" s="779"/>
      <c r="Q669" s="779"/>
    </row>
    <row r="670" spans="1:17" s="780" customFormat="1">
      <c r="A670" s="771">
        <v>19.100000000000001</v>
      </c>
      <c r="B670" s="808" t="s">
        <v>771</v>
      </c>
      <c r="C670" s="804" t="s">
        <v>51</v>
      </c>
      <c r="D670" s="801" t="s">
        <v>31</v>
      </c>
      <c r="E670" s="779"/>
      <c r="F670" s="779"/>
      <c r="G670" s="779"/>
      <c r="H670" s="779"/>
      <c r="I670" s="779"/>
      <c r="J670" s="779"/>
      <c r="K670" s="779"/>
      <c r="L670" s="779"/>
      <c r="M670" s="779"/>
      <c r="N670" s="779"/>
      <c r="O670" s="779"/>
      <c r="P670" s="779"/>
      <c r="Q670" s="779"/>
    </row>
    <row r="671" spans="1:17" s="780" customFormat="1">
      <c r="A671" s="811" t="s">
        <v>767</v>
      </c>
      <c r="B671" s="810" t="s">
        <v>768</v>
      </c>
      <c r="C671" s="804" t="s">
        <v>51</v>
      </c>
      <c r="D671" s="801" t="s">
        <v>31</v>
      </c>
      <c r="E671" s="779">
        <f>NCong!M612</f>
        <v>1789338.9327000002</v>
      </c>
      <c r="F671" s="779"/>
      <c r="G671" s="779">
        <f>G662</f>
        <v>15622.70412820513</v>
      </c>
      <c r="H671" s="779">
        <f t="shared" ref="H671:J671" si="1305">H662</f>
        <v>27173.82</v>
      </c>
      <c r="I671" s="779">
        <f t="shared" si="1305"/>
        <v>13858.50575</v>
      </c>
      <c r="J671" s="779">
        <f t="shared" si="1305"/>
        <v>31878.212100000001</v>
      </c>
      <c r="K671" s="776">
        <f t="shared" ref="K671:K673" si="1306">SUM(E671:J671)</f>
        <v>1877872.1746782053</v>
      </c>
      <c r="L671" s="776">
        <f t="shared" ref="L671:L673" si="1307">K671*15%</f>
        <v>281680.82620173076</v>
      </c>
      <c r="M671" s="776">
        <f t="shared" ref="M671:M673" si="1308">K671+L671</f>
        <v>2159553.0008799359</v>
      </c>
      <c r="N671" s="776">
        <f t="shared" ref="N671:N673" si="1309">K671-I671</f>
        <v>1864013.6689282053</v>
      </c>
      <c r="O671" s="776">
        <f t="shared" ref="O671:O673" si="1310">$L$6*N671</f>
        <v>279602.0503392308</v>
      </c>
      <c r="P671" s="776">
        <f t="shared" ref="P671:P673" si="1311">N671+O671</f>
        <v>2143615.7192674363</v>
      </c>
      <c r="Q671" s="779">
        <f>NCong!P612</f>
        <v>50776.39938461539</v>
      </c>
    </row>
    <row r="672" spans="1:17" s="780" customFormat="1">
      <c r="A672" s="811" t="s">
        <v>767</v>
      </c>
      <c r="B672" s="810" t="s">
        <v>769</v>
      </c>
      <c r="C672" s="804" t="s">
        <v>51</v>
      </c>
      <c r="D672" s="801" t="s">
        <v>31</v>
      </c>
      <c r="E672" s="779">
        <f>NCong!N612</f>
        <v>1777430.0709000002</v>
      </c>
      <c r="F672" s="779"/>
      <c r="G672" s="779">
        <f t="shared" ref="G672:J672" si="1312">G663</f>
        <v>15622.70412820513</v>
      </c>
      <c r="H672" s="779">
        <f t="shared" si="1312"/>
        <v>27173.82</v>
      </c>
      <c r="I672" s="779">
        <f t="shared" si="1312"/>
        <v>13858.50575</v>
      </c>
      <c r="J672" s="779">
        <f t="shared" si="1312"/>
        <v>31878.212100000001</v>
      </c>
      <c r="K672" s="776">
        <f t="shared" si="1306"/>
        <v>1865963.3128782052</v>
      </c>
      <c r="L672" s="776">
        <f t="shared" si="1307"/>
        <v>279894.49693173077</v>
      </c>
      <c r="M672" s="776">
        <f t="shared" si="1308"/>
        <v>2145857.8098099362</v>
      </c>
      <c r="N672" s="776">
        <f t="shared" si="1309"/>
        <v>1852104.8071282052</v>
      </c>
      <c r="O672" s="776">
        <f t="shared" si="1310"/>
        <v>277815.72106923076</v>
      </c>
      <c r="P672" s="776">
        <f t="shared" si="1311"/>
        <v>2129920.5281974361</v>
      </c>
      <c r="Q672" s="779">
        <f>NCong!Q612</f>
        <v>50461.394923076921</v>
      </c>
    </row>
    <row r="673" spans="1:17" s="780" customFormat="1">
      <c r="A673" s="811" t="s">
        <v>767</v>
      </c>
      <c r="B673" s="810" t="s">
        <v>770</v>
      </c>
      <c r="C673" s="804" t="s">
        <v>51</v>
      </c>
      <c r="D673" s="801" t="s">
        <v>31</v>
      </c>
      <c r="E673" s="779">
        <f>NCong!O612</f>
        <v>2300833.7764500002</v>
      </c>
      <c r="F673" s="779"/>
      <c r="G673" s="779">
        <f t="shared" ref="G673:J673" si="1313">G664</f>
        <v>20309.51536666667</v>
      </c>
      <c r="H673" s="779">
        <f t="shared" si="1313"/>
        <v>27173.82</v>
      </c>
      <c r="I673" s="779">
        <f t="shared" si="1313"/>
        <v>18016.057475000001</v>
      </c>
      <c r="J673" s="779">
        <f t="shared" si="1313"/>
        <v>41441.675730000003</v>
      </c>
      <c r="K673" s="776">
        <f t="shared" si="1306"/>
        <v>2407774.8450216665</v>
      </c>
      <c r="L673" s="776">
        <f t="shared" si="1307"/>
        <v>361166.22675324994</v>
      </c>
      <c r="M673" s="776">
        <f t="shared" si="1308"/>
        <v>2768941.0717749163</v>
      </c>
      <c r="N673" s="776">
        <f t="shared" si="1309"/>
        <v>2389758.7875466663</v>
      </c>
      <c r="O673" s="776">
        <f t="shared" si="1310"/>
        <v>358463.81813199993</v>
      </c>
      <c r="P673" s="776">
        <f t="shared" si="1311"/>
        <v>2748222.6056786664</v>
      </c>
      <c r="Q673" s="779">
        <f>NCong!R612</f>
        <v>65291.593230769235</v>
      </c>
    </row>
    <row r="674" spans="1:17" s="780" customFormat="1">
      <c r="A674" s="771">
        <v>19.2</v>
      </c>
      <c r="B674" s="808" t="s">
        <v>772</v>
      </c>
      <c r="C674" s="804" t="s">
        <v>51</v>
      </c>
      <c r="D674" s="801" t="s">
        <v>31</v>
      </c>
      <c r="E674" s="779"/>
      <c r="F674" s="779"/>
      <c r="G674" s="779"/>
      <c r="H674" s="779"/>
      <c r="I674" s="779"/>
      <c r="J674" s="779"/>
      <c r="K674" s="779"/>
      <c r="L674" s="779"/>
      <c r="M674" s="779"/>
      <c r="N674" s="779"/>
      <c r="O674" s="779"/>
      <c r="P674" s="779"/>
      <c r="Q674" s="779"/>
    </row>
    <row r="675" spans="1:17" s="780" customFormat="1">
      <c r="A675" s="811" t="s">
        <v>767</v>
      </c>
      <c r="B675" s="810" t="s">
        <v>768</v>
      </c>
      <c r="C675" s="804" t="s">
        <v>51</v>
      </c>
      <c r="D675" s="801" t="s">
        <v>31</v>
      </c>
      <c r="E675" s="779">
        <f>E671</f>
        <v>1789338.9327000002</v>
      </c>
      <c r="F675" s="779"/>
      <c r="G675" s="779">
        <f t="shared" ref="G675:J675" si="1314">G666</f>
        <v>9373.6224769230776</v>
      </c>
      <c r="H675" s="779">
        <f t="shared" si="1314"/>
        <v>7632.2919999999995</v>
      </c>
      <c r="I675" s="779">
        <f t="shared" si="1314"/>
        <v>8315.1034500000005</v>
      </c>
      <c r="J675" s="779">
        <f t="shared" si="1314"/>
        <v>19126.92726</v>
      </c>
      <c r="K675" s="776">
        <f t="shared" ref="K675:K677" si="1315">SUM(E675:J675)</f>
        <v>1833786.8778869233</v>
      </c>
      <c r="L675" s="776">
        <f t="shared" ref="L675:L677" si="1316">K675*15%</f>
        <v>275068.03168303845</v>
      </c>
      <c r="M675" s="776">
        <f t="shared" ref="M675:M677" si="1317">K675+L675</f>
        <v>2108854.909569962</v>
      </c>
      <c r="N675" s="776">
        <f t="shared" ref="N675:N677" si="1318">K675-I675</f>
        <v>1825471.7744369232</v>
      </c>
      <c r="O675" s="776">
        <f t="shared" ref="O675:O677" si="1319">$L$6*N675</f>
        <v>273820.76616553846</v>
      </c>
      <c r="P675" s="776">
        <f t="shared" ref="P675:P677" si="1320">N675+O675</f>
        <v>2099292.5406024614</v>
      </c>
      <c r="Q675" s="779">
        <f>Q671</f>
        <v>50776.39938461539</v>
      </c>
    </row>
    <row r="676" spans="1:17" s="780" customFormat="1">
      <c r="A676" s="811" t="s">
        <v>767</v>
      </c>
      <c r="B676" s="810" t="s">
        <v>769</v>
      </c>
      <c r="C676" s="804" t="s">
        <v>51</v>
      </c>
      <c r="D676" s="801" t="s">
        <v>31</v>
      </c>
      <c r="E676" s="779">
        <f t="shared" ref="E676:E677" si="1321">E672</f>
        <v>1777430.0709000002</v>
      </c>
      <c r="F676" s="779"/>
      <c r="G676" s="779">
        <f t="shared" ref="G676:J676" si="1322">G667</f>
        <v>9373.6224769230776</v>
      </c>
      <c r="H676" s="779">
        <f t="shared" si="1322"/>
        <v>7632.2919999999995</v>
      </c>
      <c r="I676" s="779">
        <f t="shared" si="1322"/>
        <v>8315.1034500000005</v>
      </c>
      <c r="J676" s="779">
        <f t="shared" si="1322"/>
        <v>19126.92726</v>
      </c>
      <c r="K676" s="776">
        <f t="shared" si="1315"/>
        <v>1821878.0160869232</v>
      </c>
      <c r="L676" s="776">
        <f t="shared" si="1316"/>
        <v>273281.70241303847</v>
      </c>
      <c r="M676" s="776">
        <f t="shared" si="1317"/>
        <v>2095159.7184999618</v>
      </c>
      <c r="N676" s="776">
        <f t="shared" si="1318"/>
        <v>1813562.9126369231</v>
      </c>
      <c r="O676" s="776">
        <f t="shared" si="1319"/>
        <v>272034.43689553847</v>
      </c>
      <c r="P676" s="776">
        <f t="shared" si="1320"/>
        <v>2085597.3495324617</v>
      </c>
      <c r="Q676" s="779">
        <f t="shared" ref="Q676:Q677" si="1323">Q672</f>
        <v>50461.394923076921</v>
      </c>
    </row>
    <row r="677" spans="1:17" s="780" customFormat="1">
      <c r="A677" s="811" t="s">
        <v>767</v>
      </c>
      <c r="B677" s="810" t="s">
        <v>770</v>
      </c>
      <c r="C677" s="804" t="s">
        <v>51</v>
      </c>
      <c r="D677" s="801" t="s">
        <v>31</v>
      </c>
      <c r="E677" s="779">
        <f t="shared" si="1321"/>
        <v>2300833.7764500002</v>
      </c>
      <c r="F677" s="779"/>
      <c r="G677" s="779">
        <f t="shared" ref="G677:J677" si="1324">G668</f>
        <v>12185.709220000001</v>
      </c>
      <c r="H677" s="779">
        <f t="shared" si="1324"/>
        <v>7632.2919999999995</v>
      </c>
      <c r="I677" s="779">
        <f t="shared" si="1324"/>
        <v>10809.634485</v>
      </c>
      <c r="J677" s="779">
        <f t="shared" si="1324"/>
        <v>24865.005438</v>
      </c>
      <c r="K677" s="776">
        <f t="shared" si="1315"/>
        <v>2356326.417593</v>
      </c>
      <c r="L677" s="776">
        <f t="shared" si="1316"/>
        <v>353448.96263894998</v>
      </c>
      <c r="M677" s="776">
        <f t="shared" si="1317"/>
        <v>2709775.38023195</v>
      </c>
      <c r="N677" s="776">
        <f t="shared" si="1318"/>
        <v>2345516.7831080002</v>
      </c>
      <c r="O677" s="776">
        <f t="shared" si="1319"/>
        <v>351827.51746619999</v>
      </c>
      <c r="P677" s="776">
        <f t="shared" si="1320"/>
        <v>2697344.3005742002</v>
      </c>
      <c r="Q677" s="779">
        <f t="shared" si="1323"/>
        <v>65291.593230769235</v>
      </c>
    </row>
    <row r="678" spans="1:17" s="780" customFormat="1">
      <c r="A678" s="771">
        <v>20</v>
      </c>
      <c r="B678" s="808" t="s">
        <v>293</v>
      </c>
      <c r="C678" s="771" t="s">
        <v>51</v>
      </c>
      <c r="D678" s="771" t="s">
        <v>31</v>
      </c>
      <c r="E678" s="779"/>
      <c r="F678" s="779"/>
      <c r="G678" s="779"/>
      <c r="H678" s="779"/>
      <c r="I678" s="779"/>
      <c r="J678" s="779"/>
      <c r="K678" s="779"/>
      <c r="L678" s="779"/>
      <c r="M678" s="779"/>
      <c r="N678" s="779"/>
      <c r="O678" s="779"/>
      <c r="P678" s="779"/>
      <c r="Q678" s="779"/>
    </row>
    <row r="679" spans="1:17" s="780" customFormat="1">
      <c r="A679" s="771">
        <v>20.100000000000001</v>
      </c>
      <c r="B679" s="808" t="s">
        <v>771</v>
      </c>
      <c r="C679" s="804" t="s">
        <v>51</v>
      </c>
      <c r="D679" s="801" t="s">
        <v>31</v>
      </c>
      <c r="E679" s="779"/>
      <c r="F679" s="779"/>
      <c r="G679" s="779"/>
      <c r="H679" s="779"/>
      <c r="I679" s="779"/>
      <c r="J679" s="779"/>
      <c r="K679" s="779"/>
      <c r="L679" s="779"/>
      <c r="M679" s="779"/>
      <c r="N679" s="779"/>
      <c r="O679" s="779"/>
      <c r="P679" s="779"/>
      <c r="Q679" s="779"/>
    </row>
    <row r="680" spans="1:17" s="780" customFormat="1">
      <c r="A680" s="811" t="s">
        <v>767</v>
      </c>
      <c r="B680" s="810" t="s">
        <v>768</v>
      </c>
      <c r="C680" s="804" t="s">
        <v>51</v>
      </c>
      <c r="D680" s="801" t="s">
        <v>31</v>
      </c>
      <c r="E680" s="779">
        <f>NCong!M613</f>
        <v>1774173.8091000002</v>
      </c>
      <c r="F680" s="779"/>
      <c r="G680" s="779">
        <f>G671</f>
        <v>15622.70412820513</v>
      </c>
      <c r="H680" s="779">
        <f t="shared" ref="H680:J680" si="1325">H671</f>
        <v>27173.82</v>
      </c>
      <c r="I680" s="779">
        <f t="shared" si="1325"/>
        <v>13858.50575</v>
      </c>
      <c r="J680" s="779">
        <f t="shared" si="1325"/>
        <v>31878.212100000001</v>
      </c>
      <c r="K680" s="776">
        <f t="shared" ref="K680:K682" si="1326">SUM(E680:J680)</f>
        <v>1862707.0510782052</v>
      </c>
      <c r="L680" s="776">
        <f t="shared" ref="L680:L682" si="1327">K680*15%</f>
        <v>279406.0576617308</v>
      </c>
      <c r="M680" s="776">
        <f t="shared" ref="M680:M682" si="1328">K680+L680</f>
        <v>2142113.1087399358</v>
      </c>
      <c r="N680" s="776">
        <f t="shared" ref="N680:N682" si="1329">K680-I680</f>
        <v>1848848.5453282052</v>
      </c>
      <c r="O680" s="776">
        <f t="shared" ref="O680:O682" si="1330">$L$6*N680</f>
        <v>277327.28179923078</v>
      </c>
      <c r="P680" s="776">
        <f t="shared" ref="P680:P682" si="1331">N680+O680</f>
        <v>2126175.8271274362</v>
      </c>
      <c r="Q680" s="779">
        <f>NCong!P613</f>
        <v>50367.084307692312</v>
      </c>
    </row>
    <row r="681" spans="1:17" s="780" customFormat="1">
      <c r="A681" s="811" t="s">
        <v>767</v>
      </c>
      <c r="B681" s="810" t="s">
        <v>769</v>
      </c>
      <c r="C681" s="804" t="s">
        <v>51</v>
      </c>
      <c r="D681" s="801" t="s">
        <v>31</v>
      </c>
      <c r="E681" s="779">
        <f>NCong!N613</f>
        <v>1768641.1924500002</v>
      </c>
      <c r="F681" s="779"/>
      <c r="G681" s="779">
        <f t="shared" ref="G681:J681" si="1332">G672</f>
        <v>15622.70412820513</v>
      </c>
      <c r="H681" s="779">
        <f t="shared" si="1332"/>
        <v>27173.82</v>
      </c>
      <c r="I681" s="779">
        <f t="shared" si="1332"/>
        <v>13858.50575</v>
      </c>
      <c r="J681" s="779">
        <f t="shared" si="1332"/>
        <v>31878.212100000001</v>
      </c>
      <c r="K681" s="776">
        <f t="shared" si="1326"/>
        <v>1857174.4344282052</v>
      </c>
      <c r="L681" s="776">
        <f t="shared" si="1327"/>
        <v>278576.1651642308</v>
      </c>
      <c r="M681" s="776">
        <f t="shared" si="1328"/>
        <v>2135750.5995924361</v>
      </c>
      <c r="N681" s="776">
        <f t="shared" si="1329"/>
        <v>1843315.9286782052</v>
      </c>
      <c r="O681" s="776">
        <f t="shared" si="1330"/>
        <v>276497.38930173079</v>
      </c>
      <c r="P681" s="776">
        <f t="shared" si="1331"/>
        <v>2119813.317979936</v>
      </c>
      <c r="Q681" s="779">
        <f>NCong!Q613</f>
        <v>50224.178230769234</v>
      </c>
    </row>
    <row r="682" spans="1:17" s="780" customFormat="1">
      <c r="A682" s="811" t="s">
        <v>767</v>
      </c>
      <c r="B682" s="810" t="s">
        <v>770</v>
      </c>
      <c r="C682" s="804" t="s">
        <v>51</v>
      </c>
      <c r="D682" s="801" t="s">
        <v>31</v>
      </c>
      <c r="E682" s="779">
        <f>NCong!O613</f>
        <v>2280498.7243500003</v>
      </c>
      <c r="F682" s="779"/>
      <c r="G682" s="779">
        <f t="shared" ref="G682:J682" si="1333">G673</f>
        <v>20309.51536666667</v>
      </c>
      <c r="H682" s="779">
        <f t="shared" si="1333"/>
        <v>27173.82</v>
      </c>
      <c r="I682" s="779">
        <f t="shared" si="1333"/>
        <v>18016.057475000001</v>
      </c>
      <c r="J682" s="779">
        <f t="shared" si="1333"/>
        <v>41441.675730000003</v>
      </c>
      <c r="K682" s="776">
        <f t="shared" si="1326"/>
        <v>2387439.7929216665</v>
      </c>
      <c r="L682" s="776">
        <f t="shared" si="1327"/>
        <v>358115.96893824998</v>
      </c>
      <c r="M682" s="776">
        <f t="shared" si="1328"/>
        <v>2745555.7618599166</v>
      </c>
      <c r="N682" s="776">
        <f t="shared" si="1329"/>
        <v>2369423.7354466664</v>
      </c>
      <c r="O682" s="776">
        <f t="shared" si="1330"/>
        <v>355413.56031699997</v>
      </c>
      <c r="P682" s="776">
        <f t="shared" si="1331"/>
        <v>2724837.2957636663</v>
      </c>
      <c r="Q682" s="779">
        <f>NCong!R613</f>
        <v>64742.738923076926</v>
      </c>
    </row>
    <row r="683" spans="1:17" s="780" customFormat="1">
      <c r="A683" s="771">
        <v>20.2</v>
      </c>
      <c r="B683" s="808" t="s">
        <v>772</v>
      </c>
      <c r="C683" s="804" t="s">
        <v>51</v>
      </c>
      <c r="D683" s="801" t="s">
        <v>31</v>
      </c>
      <c r="E683" s="779"/>
      <c r="F683" s="779"/>
      <c r="G683" s="779"/>
      <c r="H683" s="779"/>
      <c r="I683" s="779"/>
      <c r="J683" s="779"/>
      <c r="K683" s="779"/>
      <c r="L683" s="779"/>
      <c r="M683" s="779"/>
      <c r="N683" s="779"/>
      <c r="O683" s="779"/>
      <c r="P683" s="779"/>
      <c r="Q683" s="779"/>
    </row>
    <row r="684" spans="1:17" s="780" customFormat="1">
      <c r="A684" s="811" t="s">
        <v>767</v>
      </c>
      <c r="B684" s="810" t="s">
        <v>768</v>
      </c>
      <c r="C684" s="804" t="s">
        <v>51</v>
      </c>
      <c r="D684" s="801" t="s">
        <v>31</v>
      </c>
      <c r="E684" s="779">
        <f>E680</f>
        <v>1774173.8091000002</v>
      </c>
      <c r="F684" s="779"/>
      <c r="G684" s="779">
        <f t="shared" ref="G684:J684" si="1334">G675</f>
        <v>9373.6224769230776</v>
      </c>
      <c r="H684" s="779">
        <f t="shared" si="1334"/>
        <v>7632.2919999999995</v>
      </c>
      <c r="I684" s="779">
        <f t="shared" si="1334"/>
        <v>8315.1034500000005</v>
      </c>
      <c r="J684" s="779">
        <f t="shared" si="1334"/>
        <v>19126.92726</v>
      </c>
      <c r="K684" s="776">
        <f t="shared" ref="K684:K686" si="1335">SUM(E684:J684)</f>
        <v>1818621.7542869232</v>
      </c>
      <c r="L684" s="776">
        <f t="shared" ref="L684:L686" si="1336">K684*15%</f>
        <v>272793.26314303849</v>
      </c>
      <c r="M684" s="776">
        <f t="shared" ref="M684:M686" si="1337">K684+L684</f>
        <v>2091415.0174299618</v>
      </c>
      <c r="N684" s="776">
        <f t="shared" ref="N684:N686" si="1338">K684-I684</f>
        <v>1810306.6508369232</v>
      </c>
      <c r="O684" s="776">
        <f t="shared" ref="O684:O686" si="1339">$L$6*N684</f>
        <v>271545.99762553844</v>
      </c>
      <c r="P684" s="776">
        <f t="shared" ref="P684:P686" si="1340">N684+O684</f>
        <v>2081852.6484624615</v>
      </c>
      <c r="Q684" s="779">
        <f>Q680</f>
        <v>50367.084307692312</v>
      </c>
    </row>
    <row r="685" spans="1:17" s="780" customFormat="1">
      <c r="A685" s="811" t="s">
        <v>767</v>
      </c>
      <c r="B685" s="810" t="s">
        <v>769</v>
      </c>
      <c r="C685" s="804" t="s">
        <v>51</v>
      </c>
      <c r="D685" s="801" t="s">
        <v>31</v>
      </c>
      <c r="E685" s="779">
        <f t="shared" ref="E685:E686" si="1341">E681</f>
        <v>1768641.1924500002</v>
      </c>
      <c r="F685" s="779"/>
      <c r="G685" s="779">
        <f t="shared" ref="G685:J685" si="1342">G676</f>
        <v>9373.6224769230776</v>
      </c>
      <c r="H685" s="779">
        <f t="shared" si="1342"/>
        <v>7632.2919999999995</v>
      </c>
      <c r="I685" s="779">
        <f t="shared" si="1342"/>
        <v>8315.1034500000005</v>
      </c>
      <c r="J685" s="779">
        <f t="shared" si="1342"/>
        <v>19126.92726</v>
      </c>
      <c r="K685" s="776">
        <f t="shared" si="1335"/>
        <v>1813089.1376369232</v>
      </c>
      <c r="L685" s="776">
        <f t="shared" si="1336"/>
        <v>271963.3706455385</v>
      </c>
      <c r="M685" s="776">
        <f t="shared" si="1337"/>
        <v>2085052.5082824617</v>
      </c>
      <c r="N685" s="776">
        <f t="shared" si="1338"/>
        <v>1804774.0341869232</v>
      </c>
      <c r="O685" s="776">
        <f t="shared" si="1339"/>
        <v>270716.10512803844</v>
      </c>
      <c r="P685" s="776">
        <f t="shared" si="1340"/>
        <v>2075490.1393149616</v>
      </c>
      <c r="Q685" s="779">
        <f t="shared" ref="Q685:Q686" si="1343">Q681</f>
        <v>50224.178230769234</v>
      </c>
    </row>
    <row r="686" spans="1:17" s="780" customFormat="1">
      <c r="A686" s="811" t="s">
        <v>767</v>
      </c>
      <c r="B686" s="810" t="s">
        <v>770</v>
      </c>
      <c r="C686" s="804" t="s">
        <v>51</v>
      </c>
      <c r="D686" s="801" t="s">
        <v>31</v>
      </c>
      <c r="E686" s="779">
        <f t="shared" si="1341"/>
        <v>2280498.7243500003</v>
      </c>
      <c r="F686" s="779"/>
      <c r="G686" s="779">
        <f t="shared" ref="G686:J686" si="1344">G677</f>
        <v>12185.709220000001</v>
      </c>
      <c r="H686" s="779">
        <f t="shared" si="1344"/>
        <v>7632.2919999999995</v>
      </c>
      <c r="I686" s="779">
        <f t="shared" si="1344"/>
        <v>10809.634485</v>
      </c>
      <c r="J686" s="779">
        <f t="shared" si="1344"/>
        <v>24865.005438</v>
      </c>
      <c r="K686" s="776">
        <f t="shared" si="1335"/>
        <v>2335991.365493</v>
      </c>
      <c r="L686" s="776">
        <f t="shared" si="1336"/>
        <v>350398.70482395001</v>
      </c>
      <c r="M686" s="776">
        <f t="shared" si="1337"/>
        <v>2686390.0703169499</v>
      </c>
      <c r="N686" s="776">
        <f t="shared" si="1338"/>
        <v>2325181.7310080002</v>
      </c>
      <c r="O686" s="776">
        <f t="shared" si="1339"/>
        <v>348777.25965120003</v>
      </c>
      <c r="P686" s="776">
        <f t="shared" si="1340"/>
        <v>2673958.9906592001</v>
      </c>
      <c r="Q686" s="779">
        <f t="shared" si="1343"/>
        <v>64742.738923076926</v>
      </c>
    </row>
    <row r="687" spans="1:17" s="780" customFormat="1" ht="28">
      <c r="A687" s="771">
        <v>21</v>
      </c>
      <c r="B687" s="808" t="s">
        <v>276</v>
      </c>
      <c r="C687" s="771" t="s">
        <v>51</v>
      </c>
      <c r="D687" s="771" t="s">
        <v>31</v>
      </c>
      <c r="E687" s="779"/>
      <c r="F687" s="779"/>
      <c r="G687" s="779"/>
      <c r="H687" s="779"/>
      <c r="I687" s="779"/>
      <c r="J687" s="779"/>
      <c r="K687" s="779"/>
      <c r="L687" s="779"/>
      <c r="M687" s="779"/>
      <c r="N687" s="779"/>
      <c r="O687" s="779"/>
      <c r="P687" s="779"/>
      <c r="Q687" s="779"/>
    </row>
    <row r="688" spans="1:17" s="780" customFormat="1">
      <c r="A688" s="771">
        <v>21.1</v>
      </c>
      <c r="B688" s="808" t="s">
        <v>771</v>
      </c>
      <c r="C688" s="804" t="s">
        <v>51</v>
      </c>
      <c r="D688" s="801" t="s">
        <v>31</v>
      </c>
      <c r="E688" s="779"/>
      <c r="F688" s="779"/>
      <c r="G688" s="779"/>
      <c r="H688" s="779"/>
      <c r="I688" s="779"/>
      <c r="J688" s="779"/>
      <c r="K688" s="779"/>
      <c r="L688" s="779"/>
      <c r="M688" s="779"/>
      <c r="N688" s="779"/>
      <c r="O688" s="779"/>
      <c r="P688" s="779"/>
      <c r="Q688" s="779"/>
    </row>
    <row r="689" spans="1:17" s="780" customFormat="1">
      <c r="A689" s="811" t="s">
        <v>767</v>
      </c>
      <c r="B689" s="810" t="s">
        <v>768</v>
      </c>
      <c r="C689" s="804" t="s">
        <v>51</v>
      </c>
      <c r="D689" s="801" t="s">
        <v>31</v>
      </c>
      <c r="E689" s="779">
        <f>NCong!M614</f>
        <v>1778298.2151000001</v>
      </c>
      <c r="F689" s="779"/>
      <c r="G689" s="779">
        <f>G680</f>
        <v>15622.70412820513</v>
      </c>
      <c r="H689" s="779">
        <f t="shared" ref="H689:J689" si="1345">H680</f>
        <v>27173.82</v>
      </c>
      <c r="I689" s="779">
        <f t="shared" si="1345"/>
        <v>13858.50575</v>
      </c>
      <c r="J689" s="779">
        <f t="shared" si="1345"/>
        <v>31878.212100000001</v>
      </c>
      <c r="K689" s="776">
        <f t="shared" ref="K689:K691" si="1346">SUM(E689:J689)</f>
        <v>1866831.4570782052</v>
      </c>
      <c r="L689" s="776">
        <f t="shared" ref="L689:L691" si="1347">K689*15%</f>
        <v>280024.71856173076</v>
      </c>
      <c r="M689" s="776">
        <f t="shared" ref="M689:M691" si="1348">K689+L689</f>
        <v>2146856.1756399358</v>
      </c>
      <c r="N689" s="776">
        <f t="shared" ref="N689:N691" si="1349">K689-I689</f>
        <v>1852972.9513282052</v>
      </c>
      <c r="O689" s="776">
        <f t="shared" ref="O689:O691" si="1350">$L$6*N689</f>
        <v>277945.94269923074</v>
      </c>
      <c r="P689" s="776">
        <f t="shared" ref="P689:P691" si="1351">N689+O689</f>
        <v>2130918.8940274362</v>
      </c>
      <c r="Q689" s="779">
        <f>NCong!P614</f>
        <v>50478.404307692312</v>
      </c>
    </row>
    <row r="690" spans="1:17" s="780" customFormat="1">
      <c r="A690" s="811" t="s">
        <v>767</v>
      </c>
      <c r="B690" s="810" t="s">
        <v>769</v>
      </c>
      <c r="C690" s="804" t="s">
        <v>51</v>
      </c>
      <c r="D690" s="801" t="s">
        <v>31</v>
      </c>
      <c r="E690" s="779">
        <f>NCong!N614</f>
        <v>1771031.4732000004</v>
      </c>
      <c r="F690" s="779"/>
      <c r="G690" s="779">
        <f t="shared" ref="G690:J690" si="1352">G681</f>
        <v>15622.70412820513</v>
      </c>
      <c r="H690" s="779">
        <f t="shared" si="1352"/>
        <v>27173.82</v>
      </c>
      <c r="I690" s="779">
        <f t="shared" si="1352"/>
        <v>13858.50575</v>
      </c>
      <c r="J690" s="779">
        <f t="shared" si="1352"/>
        <v>31878.212100000001</v>
      </c>
      <c r="K690" s="776">
        <f t="shared" si="1346"/>
        <v>1859564.7151782054</v>
      </c>
      <c r="L690" s="776">
        <f t="shared" si="1347"/>
        <v>278934.7072767308</v>
      </c>
      <c r="M690" s="776">
        <f t="shared" si="1348"/>
        <v>2138499.4224549364</v>
      </c>
      <c r="N690" s="776">
        <f t="shared" si="1349"/>
        <v>1845706.2094282054</v>
      </c>
      <c r="O690" s="776">
        <f t="shared" si="1350"/>
        <v>276855.93141423078</v>
      </c>
      <c r="P690" s="776">
        <f t="shared" si="1351"/>
        <v>2122562.1408424363</v>
      </c>
      <c r="Q690" s="779">
        <f>NCong!Q614</f>
        <v>50288.693230769233</v>
      </c>
    </row>
    <row r="691" spans="1:17" s="780" customFormat="1">
      <c r="A691" s="811" t="s">
        <v>767</v>
      </c>
      <c r="B691" s="810" t="s">
        <v>770</v>
      </c>
      <c r="C691" s="804" t="s">
        <v>51</v>
      </c>
      <c r="D691" s="801" t="s">
        <v>31</v>
      </c>
      <c r="E691" s="779">
        <f>NCong!O614</f>
        <v>2286029.1778500001</v>
      </c>
      <c r="F691" s="779"/>
      <c r="G691" s="779">
        <f t="shared" ref="G691:J691" si="1353">G682</f>
        <v>20309.51536666667</v>
      </c>
      <c r="H691" s="779">
        <f t="shared" si="1353"/>
        <v>27173.82</v>
      </c>
      <c r="I691" s="779">
        <f t="shared" si="1353"/>
        <v>18016.057475000001</v>
      </c>
      <c r="J691" s="779">
        <f t="shared" si="1353"/>
        <v>41441.675730000003</v>
      </c>
      <c r="K691" s="776">
        <f t="shared" si="1346"/>
        <v>2392970.2464216664</v>
      </c>
      <c r="L691" s="776">
        <f t="shared" si="1347"/>
        <v>358945.53696324996</v>
      </c>
      <c r="M691" s="776">
        <f t="shared" si="1348"/>
        <v>2751915.7833849164</v>
      </c>
      <c r="N691" s="776">
        <f t="shared" si="1349"/>
        <v>2374954.1889466662</v>
      </c>
      <c r="O691" s="776">
        <f t="shared" si="1350"/>
        <v>356243.12834199989</v>
      </c>
      <c r="P691" s="776">
        <f t="shared" si="1351"/>
        <v>2731197.317288666</v>
      </c>
      <c r="Q691" s="779">
        <f>NCong!R614</f>
        <v>64892.008923076923</v>
      </c>
    </row>
    <row r="692" spans="1:17" s="780" customFormat="1">
      <c r="A692" s="771">
        <v>21.2</v>
      </c>
      <c r="B692" s="808" t="s">
        <v>772</v>
      </c>
      <c r="C692" s="804" t="s">
        <v>51</v>
      </c>
      <c r="D692" s="801" t="s">
        <v>31</v>
      </c>
      <c r="E692" s="779"/>
      <c r="F692" s="779"/>
      <c r="G692" s="779"/>
      <c r="H692" s="779"/>
      <c r="I692" s="779"/>
      <c r="J692" s="779"/>
      <c r="K692" s="779"/>
      <c r="L692" s="779"/>
      <c r="M692" s="779"/>
      <c r="N692" s="779"/>
      <c r="O692" s="779"/>
      <c r="P692" s="779"/>
      <c r="Q692" s="779"/>
    </row>
    <row r="693" spans="1:17" s="780" customFormat="1">
      <c r="A693" s="811" t="s">
        <v>767</v>
      </c>
      <c r="B693" s="810" t="s">
        <v>768</v>
      </c>
      <c r="C693" s="804" t="s">
        <v>51</v>
      </c>
      <c r="D693" s="801" t="s">
        <v>31</v>
      </c>
      <c r="E693" s="779">
        <f>E689</f>
        <v>1778298.2151000001</v>
      </c>
      <c r="F693" s="779"/>
      <c r="G693" s="779">
        <f t="shared" ref="G693:J693" si="1354">G684</f>
        <v>9373.6224769230776</v>
      </c>
      <c r="H693" s="779">
        <f t="shared" si="1354"/>
        <v>7632.2919999999995</v>
      </c>
      <c r="I693" s="779">
        <f t="shared" si="1354"/>
        <v>8315.1034500000005</v>
      </c>
      <c r="J693" s="779">
        <f t="shared" si="1354"/>
        <v>19126.92726</v>
      </c>
      <c r="K693" s="776">
        <f t="shared" ref="K693:K695" si="1355">SUM(E693:J693)</f>
        <v>1822746.1602869232</v>
      </c>
      <c r="L693" s="776">
        <f t="shared" ref="L693:L695" si="1356">K693*15%</f>
        <v>273411.92404303845</v>
      </c>
      <c r="M693" s="776">
        <f t="shared" ref="M693:M695" si="1357">K693+L693</f>
        <v>2096158.0843299616</v>
      </c>
      <c r="N693" s="776">
        <f t="shared" ref="N693:N695" si="1358">K693-I693</f>
        <v>1814431.0568369231</v>
      </c>
      <c r="O693" s="776">
        <f t="shared" ref="O693:O695" si="1359">$L$6*N693</f>
        <v>272164.65852553846</v>
      </c>
      <c r="P693" s="776">
        <f t="shared" ref="P693:P695" si="1360">N693+O693</f>
        <v>2086595.7153624615</v>
      </c>
      <c r="Q693" s="779">
        <f>Q689</f>
        <v>50478.404307692312</v>
      </c>
    </row>
    <row r="694" spans="1:17" s="780" customFormat="1">
      <c r="A694" s="811" t="s">
        <v>767</v>
      </c>
      <c r="B694" s="810" t="s">
        <v>769</v>
      </c>
      <c r="C694" s="804" t="s">
        <v>51</v>
      </c>
      <c r="D694" s="801" t="s">
        <v>31</v>
      </c>
      <c r="E694" s="779">
        <f t="shared" ref="E694:E695" si="1361">E690</f>
        <v>1771031.4732000004</v>
      </c>
      <c r="F694" s="779"/>
      <c r="G694" s="779">
        <f t="shared" ref="G694:J694" si="1362">G685</f>
        <v>9373.6224769230776</v>
      </c>
      <c r="H694" s="779">
        <f t="shared" si="1362"/>
        <v>7632.2919999999995</v>
      </c>
      <c r="I694" s="779">
        <f t="shared" si="1362"/>
        <v>8315.1034500000005</v>
      </c>
      <c r="J694" s="779">
        <f t="shared" si="1362"/>
        <v>19126.92726</v>
      </c>
      <c r="K694" s="776">
        <f t="shared" si="1355"/>
        <v>1815479.4183869234</v>
      </c>
      <c r="L694" s="776">
        <f t="shared" si="1356"/>
        <v>272321.9127580385</v>
      </c>
      <c r="M694" s="776">
        <f t="shared" si="1357"/>
        <v>2087801.331144962</v>
      </c>
      <c r="N694" s="776">
        <f t="shared" si="1358"/>
        <v>1807164.3149369233</v>
      </c>
      <c r="O694" s="776">
        <f t="shared" si="1359"/>
        <v>271074.6472405385</v>
      </c>
      <c r="P694" s="776">
        <f t="shared" si="1360"/>
        <v>2078238.9621774619</v>
      </c>
      <c r="Q694" s="779">
        <f t="shared" ref="Q694:Q695" si="1363">Q690</f>
        <v>50288.693230769233</v>
      </c>
    </row>
    <row r="695" spans="1:17" s="780" customFormat="1">
      <c r="A695" s="811" t="s">
        <v>767</v>
      </c>
      <c r="B695" s="810" t="s">
        <v>770</v>
      </c>
      <c r="C695" s="804" t="s">
        <v>51</v>
      </c>
      <c r="D695" s="801" t="s">
        <v>31</v>
      </c>
      <c r="E695" s="779">
        <f t="shared" si="1361"/>
        <v>2286029.1778500001</v>
      </c>
      <c r="F695" s="779"/>
      <c r="G695" s="779">
        <f t="shared" ref="G695:J695" si="1364">G686</f>
        <v>12185.709220000001</v>
      </c>
      <c r="H695" s="779">
        <f t="shared" si="1364"/>
        <v>7632.2919999999995</v>
      </c>
      <c r="I695" s="779">
        <f t="shared" si="1364"/>
        <v>10809.634485</v>
      </c>
      <c r="J695" s="779">
        <f t="shared" si="1364"/>
        <v>24865.005438</v>
      </c>
      <c r="K695" s="776">
        <f t="shared" si="1355"/>
        <v>2341521.8189929998</v>
      </c>
      <c r="L695" s="776">
        <f t="shared" si="1356"/>
        <v>351228.27284894994</v>
      </c>
      <c r="M695" s="776">
        <f t="shared" si="1357"/>
        <v>2692750.0918419496</v>
      </c>
      <c r="N695" s="776">
        <f t="shared" si="1358"/>
        <v>2330712.184508</v>
      </c>
      <c r="O695" s="776">
        <f t="shared" si="1359"/>
        <v>349606.82767620002</v>
      </c>
      <c r="P695" s="776">
        <f t="shared" si="1360"/>
        <v>2680319.0121841999</v>
      </c>
      <c r="Q695" s="779">
        <f t="shared" si="1363"/>
        <v>64892.008923076923</v>
      </c>
    </row>
    <row r="696" spans="1:17" s="780" customFormat="1" ht="14">
      <c r="A696" s="771">
        <v>22</v>
      </c>
      <c r="B696" s="808" t="s">
        <v>278</v>
      </c>
      <c r="C696" s="771" t="s">
        <v>51</v>
      </c>
      <c r="D696" s="771" t="s">
        <v>31</v>
      </c>
      <c r="E696" s="779"/>
      <c r="F696" s="779"/>
      <c r="G696" s="779"/>
      <c r="H696" s="779"/>
      <c r="I696" s="779"/>
      <c r="J696" s="779"/>
      <c r="K696" s="779"/>
      <c r="L696" s="779"/>
      <c r="M696" s="779"/>
      <c r="N696" s="779"/>
      <c r="O696" s="779"/>
      <c r="P696" s="779"/>
      <c r="Q696" s="779"/>
    </row>
    <row r="697" spans="1:17" s="780" customFormat="1">
      <c r="A697" s="771">
        <v>22.1</v>
      </c>
      <c r="B697" s="808" t="s">
        <v>771</v>
      </c>
      <c r="C697" s="804" t="s">
        <v>51</v>
      </c>
      <c r="D697" s="801" t="s">
        <v>31</v>
      </c>
      <c r="E697" s="779"/>
      <c r="F697" s="779"/>
      <c r="G697" s="779"/>
      <c r="H697" s="779"/>
      <c r="I697" s="779"/>
      <c r="J697" s="779"/>
      <c r="K697" s="779"/>
      <c r="L697" s="779"/>
      <c r="M697" s="779"/>
      <c r="N697" s="779"/>
      <c r="O697" s="779"/>
      <c r="P697" s="779"/>
      <c r="Q697" s="779"/>
    </row>
    <row r="698" spans="1:17" s="780" customFormat="1">
      <c r="A698" s="811" t="s">
        <v>767</v>
      </c>
      <c r="B698" s="810" t="s">
        <v>768</v>
      </c>
      <c r="C698" s="804" t="s">
        <v>51</v>
      </c>
      <c r="D698" s="801" t="s">
        <v>31</v>
      </c>
      <c r="E698" s="779">
        <f>NCong!M615</f>
        <v>1794859.2915000001</v>
      </c>
      <c r="F698" s="779"/>
      <c r="G698" s="779">
        <f>G689</f>
        <v>15622.70412820513</v>
      </c>
      <c r="H698" s="779">
        <f t="shared" ref="H698:J698" si="1365">H689</f>
        <v>27173.82</v>
      </c>
      <c r="I698" s="779">
        <f t="shared" si="1365"/>
        <v>13858.50575</v>
      </c>
      <c r="J698" s="779">
        <f t="shared" si="1365"/>
        <v>31878.212100000001</v>
      </c>
      <c r="K698" s="776">
        <f t="shared" ref="K698:K700" si="1366">SUM(E698:J698)</f>
        <v>1883392.5334782051</v>
      </c>
      <c r="L698" s="776">
        <f t="shared" ref="L698:L700" si="1367">K698*15%</f>
        <v>282508.88002173073</v>
      </c>
      <c r="M698" s="776">
        <f t="shared" ref="M698:M700" si="1368">K698+L698</f>
        <v>2165901.413499936</v>
      </c>
      <c r="N698" s="776">
        <f t="shared" ref="N698:N700" si="1369">K698-I698</f>
        <v>1869534.0277282051</v>
      </c>
      <c r="O698" s="776">
        <f t="shared" ref="O698:O700" si="1370">$L$6*N698</f>
        <v>280430.10415923077</v>
      </c>
      <c r="P698" s="776">
        <f t="shared" ref="P698:P700" si="1371">N698+O698</f>
        <v>2149964.1318874359</v>
      </c>
      <c r="Q698" s="779">
        <f>NCong!P615</f>
        <v>50925.396923076929</v>
      </c>
    </row>
    <row r="699" spans="1:17" s="780" customFormat="1">
      <c r="A699" s="811" t="s">
        <v>767</v>
      </c>
      <c r="B699" s="810" t="s">
        <v>769</v>
      </c>
      <c r="C699" s="804" t="s">
        <v>51</v>
      </c>
      <c r="D699" s="801" t="s">
        <v>31</v>
      </c>
      <c r="E699" s="779">
        <f>NCong!N615</f>
        <v>1780629.3697500003</v>
      </c>
      <c r="F699" s="779"/>
      <c r="G699" s="779">
        <f t="shared" ref="G699:J699" si="1372">G690</f>
        <v>15622.70412820513</v>
      </c>
      <c r="H699" s="779">
        <f t="shared" si="1372"/>
        <v>27173.82</v>
      </c>
      <c r="I699" s="779">
        <f t="shared" si="1372"/>
        <v>13858.50575</v>
      </c>
      <c r="J699" s="779">
        <f t="shared" si="1372"/>
        <v>31878.212100000001</v>
      </c>
      <c r="K699" s="776">
        <f t="shared" si="1366"/>
        <v>1869162.6117282053</v>
      </c>
      <c r="L699" s="776">
        <f t="shared" si="1367"/>
        <v>280374.39175923081</v>
      </c>
      <c r="M699" s="776">
        <f t="shared" si="1368"/>
        <v>2149537.0034874361</v>
      </c>
      <c r="N699" s="776">
        <f t="shared" si="1369"/>
        <v>1855304.1059782053</v>
      </c>
      <c r="O699" s="776">
        <f t="shared" si="1370"/>
        <v>278295.6158967308</v>
      </c>
      <c r="P699" s="776">
        <f t="shared" si="1371"/>
        <v>2133599.721874936</v>
      </c>
      <c r="Q699" s="779">
        <f>NCong!Q615</f>
        <v>50547.745769230773</v>
      </c>
    </row>
    <row r="700" spans="1:17" s="780" customFormat="1">
      <c r="A700" s="811" t="s">
        <v>767</v>
      </c>
      <c r="B700" s="810" t="s">
        <v>770</v>
      </c>
      <c r="C700" s="804" t="s">
        <v>51</v>
      </c>
      <c r="D700" s="801" t="s">
        <v>31</v>
      </c>
      <c r="E700" s="779">
        <f>NCong!O615</f>
        <v>2308236.0757500003</v>
      </c>
      <c r="F700" s="779"/>
      <c r="G700" s="779">
        <f t="shared" ref="G700:J700" si="1373">G691</f>
        <v>20309.51536666667</v>
      </c>
      <c r="H700" s="779">
        <f t="shared" si="1373"/>
        <v>27173.82</v>
      </c>
      <c r="I700" s="779">
        <f t="shared" si="1373"/>
        <v>18016.057475000001</v>
      </c>
      <c r="J700" s="779">
        <f t="shared" si="1373"/>
        <v>41441.675730000003</v>
      </c>
      <c r="K700" s="776">
        <f t="shared" si="1366"/>
        <v>2415177.1443216666</v>
      </c>
      <c r="L700" s="776">
        <f t="shared" si="1367"/>
        <v>362276.57164824998</v>
      </c>
      <c r="M700" s="776">
        <f t="shared" si="1368"/>
        <v>2777453.7159699164</v>
      </c>
      <c r="N700" s="776">
        <f t="shared" si="1369"/>
        <v>2397161.0868466664</v>
      </c>
      <c r="O700" s="776">
        <f t="shared" si="1370"/>
        <v>359574.16302699997</v>
      </c>
      <c r="P700" s="776">
        <f t="shared" si="1371"/>
        <v>2756735.2498736666</v>
      </c>
      <c r="Q700" s="779">
        <f>NCong!R615</f>
        <v>65491.385384615387</v>
      </c>
    </row>
    <row r="701" spans="1:17" s="780" customFormat="1">
      <c r="A701" s="771">
        <v>22.2</v>
      </c>
      <c r="B701" s="808" t="s">
        <v>772</v>
      </c>
      <c r="C701" s="804" t="s">
        <v>51</v>
      </c>
      <c r="D701" s="801" t="s">
        <v>31</v>
      </c>
      <c r="E701" s="779"/>
      <c r="F701" s="779"/>
      <c r="G701" s="779"/>
      <c r="H701" s="779"/>
      <c r="I701" s="779"/>
      <c r="J701" s="779"/>
      <c r="K701" s="779"/>
      <c r="L701" s="779"/>
      <c r="M701" s="779"/>
      <c r="N701" s="779"/>
      <c r="O701" s="779"/>
      <c r="P701" s="779"/>
      <c r="Q701" s="779"/>
    </row>
    <row r="702" spans="1:17" s="780" customFormat="1">
      <c r="A702" s="811" t="s">
        <v>767</v>
      </c>
      <c r="B702" s="810" t="s">
        <v>768</v>
      </c>
      <c r="C702" s="804" t="s">
        <v>51</v>
      </c>
      <c r="D702" s="801" t="s">
        <v>31</v>
      </c>
      <c r="E702" s="779">
        <f>E698</f>
        <v>1794859.2915000001</v>
      </c>
      <c r="F702" s="779"/>
      <c r="G702" s="779">
        <f t="shared" ref="G702:J702" si="1374">G693</f>
        <v>9373.6224769230776</v>
      </c>
      <c r="H702" s="779">
        <f t="shared" si="1374"/>
        <v>7632.2919999999995</v>
      </c>
      <c r="I702" s="779">
        <f t="shared" si="1374"/>
        <v>8315.1034500000005</v>
      </c>
      <c r="J702" s="779">
        <f t="shared" si="1374"/>
        <v>19126.92726</v>
      </c>
      <c r="K702" s="776">
        <f t="shared" ref="K702:K704" si="1375">SUM(E702:J702)</f>
        <v>1839307.2366869231</v>
      </c>
      <c r="L702" s="776">
        <f t="shared" ref="L702:L704" si="1376">K702*15%</f>
        <v>275896.08550303843</v>
      </c>
      <c r="M702" s="776">
        <f t="shared" ref="M702:M704" si="1377">K702+L702</f>
        <v>2115203.3221899616</v>
      </c>
      <c r="N702" s="776">
        <f t="shared" ref="N702:N704" si="1378">K702-I702</f>
        <v>1830992.133236923</v>
      </c>
      <c r="O702" s="776">
        <f t="shared" ref="O702:O704" si="1379">$L$6*N702</f>
        <v>274648.81998553843</v>
      </c>
      <c r="P702" s="776">
        <f t="shared" ref="P702:P704" si="1380">N702+O702</f>
        <v>2105640.9532224615</v>
      </c>
      <c r="Q702" s="779">
        <f>Q698</f>
        <v>50925.396923076929</v>
      </c>
    </row>
    <row r="703" spans="1:17" s="780" customFormat="1">
      <c r="A703" s="811" t="s">
        <v>767</v>
      </c>
      <c r="B703" s="810" t="s">
        <v>769</v>
      </c>
      <c r="C703" s="804" t="s">
        <v>51</v>
      </c>
      <c r="D703" s="801" t="s">
        <v>31</v>
      </c>
      <c r="E703" s="779">
        <f t="shared" ref="E703:E704" si="1381">E699</f>
        <v>1780629.3697500003</v>
      </c>
      <c r="F703" s="779"/>
      <c r="G703" s="779">
        <f t="shared" ref="G703:J703" si="1382">G694</f>
        <v>9373.6224769230776</v>
      </c>
      <c r="H703" s="779">
        <f t="shared" si="1382"/>
        <v>7632.2919999999995</v>
      </c>
      <c r="I703" s="779">
        <f t="shared" si="1382"/>
        <v>8315.1034500000005</v>
      </c>
      <c r="J703" s="779">
        <f t="shared" si="1382"/>
        <v>19126.92726</v>
      </c>
      <c r="K703" s="776">
        <f t="shared" si="1375"/>
        <v>1825077.3149369233</v>
      </c>
      <c r="L703" s="776">
        <f t="shared" si="1376"/>
        <v>273761.59724053851</v>
      </c>
      <c r="M703" s="776">
        <f t="shared" si="1377"/>
        <v>2098838.9121774617</v>
      </c>
      <c r="N703" s="776">
        <f t="shared" si="1378"/>
        <v>1816762.2114869233</v>
      </c>
      <c r="O703" s="776">
        <f t="shared" si="1379"/>
        <v>272514.33172303846</v>
      </c>
      <c r="P703" s="776">
        <f t="shared" si="1380"/>
        <v>2089276.5432099616</v>
      </c>
      <c r="Q703" s="779">
        <f t="shared" ref="Q703:Q704" si="1383">Q699</f>
        <v>50547.745769230773</v>
      </c>
    </row>
    <row r="704" spans="1:17" s="780" customFormat="1">
      <c r="A704" s="811" t="s">
        <v>767</v>
      </c>
      <c r="B704" s="810" t="s">
        <v>770</v>
      </c>
      <c r="C704" s="804" t="s">
        <v>51</v>
      </c>
      <c r="D704" s="801" t="s">
        <v>31</v>
      </c>
      <c r="E704" s="779">
        <f t="shared" si="1381"/>
        <v>2308236.0757500003</v>
      </c>
      <c r="F704" s="779"/>
      <c r="G704" s="779">
        <f t="shared" ref="G704:J704" si="1384">G695</f>
        <v>12185.709220000001</v>
      </c>
      <c r="H704" s="779">
        <f t="shared" si="1384"/>
        <v>7632.2919999999995</v>
      </c>
      <c r="I704" s="779">
        <f t="shared" si="1384"/>
        <v>10809.634485</v>
      </c>
      <c r="J704" s="779">
        <f t="shared" si="1384"/>
        <v>24865.005438</v>
      </c>
      <c r="K704" s="776">
        <f t="shared" si="1375"/>
        <v>2363728.7168930001</v>
      </c>
      <c r="L704" s="776">
        <f t="shared" si="1376"/>
        <v>354559.30753395002</v>
      </c>
      <c r="M704" s="776">
        <f t="shared" si="1377"/>
        <v>2718288.0244269501</v>
      </c>
      <c r="N704" s="776">
        <f t="shared" si="1378"/>
        <v>2352919.0824080002</v>
      </c>
      <c r="O704" s="776">
        <f t="shared" si="1379"/>
        <v>352937.86236120004</v>
      </c>
      <c r="P704" s="776">
        <f t="shared" si="1380"/>
        <v>2705856.9447692004</v>
      </c>
      <c r="Q704" s="779">
        <f t="shared" si="1383"/>
        <v>65491.385384615387</v>
      </c>
    </row>
    <row r="705" spans="1:17" s="780" customFormat="1" ht="14">
      <c r="A705" s="771">
        <v>23</v>
      </c>
      <c r="B705" s="808" t="s">
        <v>280</v>
      </c>
      <c r="C705" s="771" t="s">
        <v>51</v>
      </c>
      <c r="D705" s="771" t="s">
        <v>31</v>
      </c>
      <c r="E705" s="779"/>
      <c r="F705" s="779"/>
      <c r="G705" s="779"/>
      <c r="H705" s="779"/>
      <c r="I705" s="779"/>
      <c r="J705" s="779"/>
      <c r="K705" s="779"/>
      <c r="L705" s="779"/>
      <c r="M705" s="779"/>
      <c r="N705" s="779"/>
      <c r="O705" s="779"/>
      <c r="P705" s="779"/>
      <c r="Q705" s="779"/>
    </row>
    <row r="706" spans="1:17" s="780" customFormat="1">
      <c r="A706" s="771">
        <v>23.1</v>
      </c>
      <c r="B706" s="808" t="s">
        <v>771</v>
      </c>
      <c r="C706" s="804" t="s">
        <v>51</v>
      </c>
      <c r="D706" s="801" t="s">
        <v>31</v>
      </c>
      <c r="E706" s="779"/>
      <c r="F706" s="779"/>
      <c r="G706" s="779"/>
      <c r="H706" s="779"/>
      <c r="I706" s="779"/>
      <c r="J706" s="779"/>
      <c r="K706" s="779"/>
      <c r="L706" s="779"/>
      <c r="M706" s="779"/>
      <c r="N706" s="779"/>
      <c r="O706" s="779"/>
      <c r="P706" s="779"/>
      <c r="Q706" s="779"/>
    </row>
    <row r="707" spans="1:17" s="780" customFormat="1">
      <c r="A707" s="811" t="s">
        <v>767</v>
      </c>
      <c r="B707" s="810" t="s">
        <v>768</v>
      </c>
      <c r="C707" s="804" t="s">
        <v>51</v>
      </c>
      <c r="D707" s="801" t="s">
        <v>31</v>
      </c>
      <c r="E707" s="779">
        <f>NCong!M616</f>
        <v>1778996.1915000002</v>
      </c>
      <c r="F707" s="779"/>
      <c r="G707" s="779">
        <f>G698</f>
        <v>15622.70412820513</v>
      </c>
      <c r="H707" s="779">
        <f t="shared" ref="H707:J707" si="1385">H698</f>
        <v>27173.82</v>
      </c>
      <c r="I707" s="779">
        <f t="shared" si="1385"/>
        <v>13858.50575</v>
      </c>
      <c r="J707" s="779">
        <f t="shared" si="1385"/>
        <v>31878.212100000001</v>
      </c>
      <c r="K707" s="776">
        <f t="shared" ref="K707:K713" si="1386">SUM(E707:J707)</f>
        <v>1867529.4334782052</v>
      </c>
      <c r="L707" s="776">
        <f t="shared" ref="L707:L713" si="1387">K707*15%</f>
        <v>280129.41502173076</v>
      </c>
      <c r="M707" s="776">
        <f t="shared" ref="M707:M713" si="1388">K707+L707</f>
        <v>2147658.8484999361</v>
      </c>
      <c r="N707" s="776">
        <f t="shared" ref="N707:N713" si="1389">K707-I707</f>
        <v>1853670.9277282052</v>
      </c>
      <c r="O707" s="776">
        <f t="shared" ref="O707:O713" si="1390">$L$6*N707</f>
        <v>278050.63915923075</v>
      </c>
      <c r="P707" s="776">
        <f t="shared" ref="P707:P713" si="1391">N707+O707</f>
        <v>2131721.566887436</v>
      </c>
      <c r="Q707" s="779">
        <f>NCong!P616</f>
        <v>50497.243076923078</v>
      </c>
    </row>
    <row r="708" spans="1:17" s="780" customFormat="1">
      <c r="A708" s="811" t="s">
        <v>767</v>
      </c>
      <c r="B708" s="810" t="s">
        <v>769</v>
      </c>
      <c r="C708" s="804" t="s">
        <v>51</v>
      </c>
      <c r="D708" s="801" t="s">
        <v>31</v>
      </c>
      <c r="E708" s="779">
        <f>NCong!N616</f>
        <v>1771435.9822500004</v>
      </c>
      <c r="F708" s="779"/>
      <c r="G708" s="779">
        <f t="shared" ref="G708:J708" si="1392">G699</f>
        <v>15622.70412820513</v>
      </c>
      <c r="H708" s="779">
        <f t="shared" si="1392"/>
        <v>27173.82</v>
      </c>
      <c r="I708" s="779">
        <f t="shared" si="1392"/>
        <v>13858.50575</v>
      </c>
      <c r="J708" s="779">
        <f t="shared" si="1392"/>
        <v>31878.212100000001</v>
      </c>
      <c r="K708" s="776">
        <f t="shared" si="1386"/>
        <v>1859969.2242282054</v>
      </c>
      <c r="L708" s="776">
        <f t="shared" si="1387"/>
        <v>278995.38363423082</v>
      </c>
      <c r="M708" s="776">
        <f t="shared" si="1388"/>
        <v>2138964.6078624362</v>
      </c>
      <c r="N708" s="776">
        <f t="shared" si="1389"/>
        <v>1846110.7184782054</v>
      </c>
      <c r="O708" s="776">
        <f t="shared" si="1390"/>
        <v>276916.60777173081</v>
      </c>
      <c r="P708" s="776">
        <f t="shared" si="1391"/>
        <v>2123027.3262499361</v>
      </c>
      <c r="Q708" s="779">
        <f>NCong!Q616</f>
        <v>50299.611153846156</v>
      </c>
    </row>
    <row r="709" spans="1:17" s="780" customFormat="1">
      <c r="A709" s="811" t="s">
        <v>767</v>
      </c>
      <c r="B709" s="810" t="s">
        <v>770</v>
      </c>
      <c r="C709" s="804" t="s">
        <v>51</v>
      </c>
      <c r="D709" s="801" t="s">
        <v>31</v>
      </c>
      <c r="E709" s="779">
        <f>NCong!O616</f>
        <v>2286965.1007500002</v>
      </c>
      <c r="F709" s="779"/>
      <c r="G709" s="779">
        <f t="shared" ref="G709:J709" si="1393">G700</f>
        <v>20309.51536666667</v>
      </c>
      <c r="H709" s="779">
        <f t="shared" si="1393"/>
        <v>27173.82</v>
      </c>
      <c r="I709" s="779">
        <f t="shared" si="1393"/>
        <v>18016.057475000001</v>
      </c>
      <c r="J709" s="779">
        <f t="shared" si="1393"/>
        <v>41441.675730000003</v>
      </c>
      <c r="K709" s="776">
        <f t="shared" si="1386"/>
        <v>2393906.1693216665</v>
      </c>
      <c r="L709" s="776">
        <f t="shared" si="1387"/>
        <v>359085.92539824994</v>
      </c>
      <c r="M709" s="776">
        <f t="shared" si="1388"/>
        <v>2752992.0947199166</v>
      </c>
      <c r="N709" s="776">
        <f t="shared" si="1389"/>
        <v>2375890.1118466663</v>
      </c>
      <c r="O709" s="776">
        <f t="shared" si="1390"/>
        <v>356383.51677699992</v>
      </c>
      <c r="P709" s="776">
        <f t="shared" si="1391"/>
        <v>2732273.6286236662</v>
      </c>
      <c r="Q709" s="779">
        <f>NCong!R616</f>
        <v>64917.270000000004</v>
      </c>
    </row>
    <row r="710" spans="1:17" s="780" customFormat="1">
      <c r="A710" s="771">
        <v>23.2</v>
      </c>
      <c r="B710" s="808" t="s">
        <v>772</v>
      </c>
      <c r="C710" s="804" t="s">
        <v>51</v>
      </c>
      <c r="D710" s="801" t="s">
        <v>31</v>
      </c>
      <c r="E710" s="779"/>
      <c r="F710" s="779"/>
      <c r="G710" s="779"/>
      <c r="H710" s="779"/>
      <c r="I710" s="779"/>
      <c r="J710" s="779"/>
      <c r="K710" s="776"/>
      <c r="L710" s="776"/>
      <c r="M710" s="776"/>
      <c r="N710" s="776"/>
      <c r="O710" s="776"/>
      <c r="P710" s="776"/>
      <c r="Q710" s="779"/>
    </row>
    <row r="711" spans="1:17" s="780" customFormat="1">
      <c r="A711" s="811" t="s">
        <v>767</v>
      </c>
      <c r="B711" s="810" t="s">
        <v>768</v>
      </c>
      <c r="C711" s="804" t="s">
        <v>51</v>
      </c>
      <c r="D711" s="801" t="s">
        <v>31</v>
      </c>
      <c r="E711" s="779">
        <f>E707</f>
        <v>1778996.1915000002</v>
      </c>
      <c r="F711" s="779"/>
      <c r="G711" s="779">
        <f t="shared" ref="G711:J711" si="1394">G702</f>
        <v>9373.6224769230776</v>
      </c>
      <c r="H711" s="779">
        <f t="shared" si="1394"/>
        <v>7632.2919999999995</v>
      </c>
      <c r="I711" s="779">
        <f t="shared" si="1394"/>
        <v>8315.1034500000005</v>
      </c>
      <c r="J711" s="779">
        <f t="shared" si="1394"/>
        <v>19126.92726</v>
      </c>
      <c r="K711" s="776">
        <f t="shared" si="1386"/>
        <v>1823444.1366869232</v>
      </c>
      <c r="L711" s="776">
        <f t="shared" si="1387"/>
        <v>273516.62050303846</v>
      </c>
      <c r="M711" s="776">
        <f t="shared" si="1388"/>
        <v>2096960.7571899616</v>
      </c>
      <c r="N711" s="776">
        <f t="shared" si="1389"/>
        <v>1815129.0332369232</v>
      </c>
      <c r="O711" s="776">
        <f t="shared" si="1390"/>
        <v>272269.35498553846</v>
      </c>
      <c r="P711" s="776">
        <f t="shared" si="1391"/>
        <v>2087398.3882224616</v>
      </c>
      <c r="Q711" s="779">
        <f>Q707</f>
        <v>50497.243076923078</v>
      </c>
    </row>
    <row r="712" spans="1:17" s="780" customFormat="1">
      <c r="A712" s="811" t="s">
        <v>767</v>
      </c>
      <c r="B712" s="810" t="s">
        <v>769</v>
      </c>
      <c r="C712" s="804" t="s">
        <v>51</v>
      </c>
      <c r="D712" s="801" t="s">
        <v>31</v>
      </c>
      <c r="E712" s="779">
        <f t="shared" ref="E712:E713" si="1395">E708</f>
        <v>1771435.9822500004</v>
      </c>
      <c r="F712" s="779"/>
      <c r="G712" s="779">
        <f t="shared" ref="G712:J712" si="1396">G703</f>
        <v>9373.6224769230776</v>
      </c>
      <c r="H712" s="779">
        <f t="shared" si="1396"/>
        <v>7632.2919999999995</v>
      </c>
      <c r="I712" s="779">
        <f t="shared" si="1396"/>
        <v>8315.1034500000005</v>
      </c>
      <c r="J712" s="779">
        <f t="shared" si="1396"/>
        <v>19126.92726</v>
      </c>
      <c r="K712" s="776">
        <f t="shared" si="1386"/>
        <v>1815883.9274369234</v>
      </c>
      <c r="L712" s="776">
        <f t="shared" si="1387"/>
        <v>272382.58911553852</v>
      </c>
      <c r="M712" s="776">
        <f t="shared" si="1388"/>
        <v>2088266.5165524618</v>
      </c>
      <c r="N712" s="776">
        <f t="shared" si="1389"/>
        <v>1807568.8239869233</v>
      </c>
      <c r="O712" s="776">
        <f t="shared" si="1390"/>
        <v>271135.32359803846</v>
      </c>
      <c r="P712" s="776">
        <f t="shared" si="1391"/>
        <v>2078704.1475849617</v>
      </c>
      <c r="Q712" s="779">
        <f t="shared" ref="Q712:Q713" si="1397">Q708</f>
        <v>50299.611153846156</v>
      </c>
    </row>
    <row r="713" spans="1:17" s="780" customFormat="1">
      <c r="A713" s="811" t="s">
        <v>767</v>
      </c>
      <c r="B713" s="810" t="s">
        <v>770</v>
      </c>
      <c r="C713" s="804" t="s">
        <v>51</v>
      </c>
      <c r="D713" s="801" t="s">
        <v>31</v>
      </c>
      <c r="E713" s="779">
        <f t="shared" si="1395"/>
        <v>2286965.1007500002</v>
      </c>
      <c r="F713" s="779"/>
      <c r="G713" s="779">
        <f t="shared" ref="G713:J713" si="1398">G704</f>
        <v>12185.709220000001</v>
      </c>
      <c r="H713" s="779">
        <f t="shared" si="1398"/>
        <v>7632.2919999999995</v>
      </c>
      <c r="I713" s="779">
        <f t="shared" si="1398"/>
        <v>10809.634485</v>
      </c>
      <c r="J713" s="779">
        <f t="shared" si="1398"/>
        <v>24865.005438</v>
      </c>
      <c r="K713" s="776">
        <f t="shared" si="1386"/>
        <v>2342457.741893</v>
      </c>
      <c r="L713" s="776">
        <f t="shared" si="1387"/>
        <v>351368.66128394997</v>
      </c>
      <c r="M713" s="776">
        <f t="shared" si="1388"/>
        <v>2693826.4031769498</v>
      </c>
      <c r="N713" s="776">
        <f t="shared" si="1389"/>
        <v>2331648.1074080002</v>
      </c>
      <c r="O713" s="776">
        <f t="shared" si="1390"/>
        <v>349747.21611119999</v>
      </c>
      <c r="P713" s="776">
        <f t="shared" si="1391"/>
        <v>2681395.3235192001</v>
      </c>
      <c r="Q713" s="779">
        <f t="shared" si="1397"/>
        <v>64917.270000000004</v>
      </c>
    </row>
    <row r="714" spans="1:17" s="780" customFormat="1" ht="14">
      <c r="A714" s="771">
        <v>24</v>
      </c>
      <c r="B714" s="808" t="s">
        <v>282</v>
      </c>
      <c r="C714" s="771" t="s">
        <v>51</v>
      </c>
      <c r="D714" s="771" t="s">
        <v>31</v>
      </c>
      <c r="E714" s="779"/>
      <c r="F714" s="779"/>
      <c r="G714" s="779"/>
      <c r="H714" s="779"/>
      <c r="I714" s="779"/>
      <c r="J714" s="779"/>
      <c r="K714" s="779"/>
      <c r="L714" s="779"/>
      <c r="M714" s="779"/>
      <c r="N714" s="779"/>
      <c r="O714" s="779"/>
      <c r="P714" s="779"/>
      <c r="Q714" s="779"/>
    </row>
    <row r="715" spans="1:17" s="780" customFormat="1">
      <c r="A715" s="771">
        <v>24.1</v>
      </c>
      <c r="B715" s="808" t="s">
        <v>771</v>
      </c>
      <c r="C715" s="804" t="s">
        <v>51</v>
      </c>
      <c r="D715" s="801" t="s">
        <v>31</v>
      </c>
      <c r="E715" s="779"/>
      <c r="F715" s="779"/>
      <c r="G715" s="779"/>
      <c r="H715" s="779"/>
      <c r="I715" s="779"/>
      <c r="J715" s="779"/>
      <c r="K715" s="779"/>
      <c r="L715" s="779"/>
      <c r="M715" s="779"/>
      <c r="N715" s="779"/>
      <c r="O715" s="779"/>
      <c r="P715" s="779"/>
      <c r="Q715" s="779"/>
    </row>
    <row r="716" spans="1:17" s="780" customFormat="1">
      <c r="A716" s="811" t="s">
        <v>767</v>
      </c>
      <c r="B716" s="810" t="s">
        <v>768</v>
      </c>
      <c r="C716" s="804" t="s">
        <v>51</v>
      </c>
      <c r="D716" s="801" t="s">
        <v>31</v>
      </c>
      <c r="E716" s="779">
        <f>NCong!M617</f>
        <v>1756441.7475000001</v>
      </c>
      <c r="F716" s="779"/>
      <c r="G716" s="779">
        <f>G707</f>
        <v>15622.70412820513</v>
      </c>
      <c r="H716" s="779">
        <f t="shared" ref="H716:J716" si="1399">H707</f>
        <v>27173.82</v>
      </c>
      <c r="I716" s="779">
        <f t="shared" si="1399"/>
        <v>13858.50575</v>
      </c>
      <c r="J716" s="779">
        <f t="shared" si="1399"/>
        <v>31878.212100000001</v>
      </c>
      <c r="K716" s="776">
        <f t="shared" ref="K716:K718" si="1400">SUM(E716:J716)</f>
        <v>1844974.9894782051</v>
      </c>
      <c r="L716" s="776">
        <f t="shared" ref="L716:L718" si="1401">K716*15%</f>
        <v>276746.24842173076</v>
      </c>
      <c r="M716" s="776">
        <f t="shared" ref="M716:M718" si="1402">K716+L716</f>
        <v>2121721.2378999358</v>
      </c>
      <c r="N716" s="776">
        <f t="shared" ref="N716:N718" si="1403">K716-I716</f>
        <v>1831116.4837282051</v>
      </c>
      <c r="O716" s="776">
        <f t="shared" ref="O716:O718" si="1404">$L$6*N716</f>
        <v>274667.47255923075</v>
      </c>
      <c r="P716" s="776">
        <f t="shared" ref="P716:P718" si="1405">N716+O716</f>
        <v>2105783.9562874357</v>
      </c>
      <c r="Q716" s="779">
        <f>NCong!P617</f>
        <v>49888.486153846156</v>
      </c>
    </row>
    <row r="717" spans="1:17" s="780" customFormat="1">
      <c r="A717" s="811" t="s">
        <v>767</v>
      </c>
      <c r="B717" s="810" t="s">
        <v>769</v>
      </c>
      <c r="C717" s="804" t="s">
        <v>51</v>
      </c>
      <c r="D717" s="801" t="s">
        <v>31</v>
      </c>
      <c r="E717" s="779">
        <f>NCong!N617</f>
        <v>1753817.1255000003</v>
      </c>
      <c r="F717" s="779"/>
      <c r="G717" s="779">
        <f t="shared" ref="G717:J717" si="1406">G708</f>
        <v>15622.70412820513</v>
      </c>
      <c r="H717" s="779">
        <f t="shared" si="1406"/>
        <v>27173.82</v>
      </c>
      <c r="I717" s="779">
        <f t="shared" si="1406"/>
        <v>13858.50575</v>
      </c>
      <c r="J717" s="779">
        <f t="shared" si="1406"/>
        <v>31878.212100000001</v>
      </c>
      <c r="K717" s="776">
        <f t="shared" si="1400"/>
        <v>1842350.3674782054</v>
      </c>
      <c r="L717" s="776">
        <f t="shared" si="1401"/>
        <v>276352.55512173078</v>
      </c>
      <c r="M717" s="776">
        <f t="shared" si="1402"/>
        <v>2118702.9225999359</v>
      </c>
      <c r="N717" s="776">
        <f t="shared" si="1403"/>
        <v>1828491.8617282053</v>
      </c>
      <c r="O717" s="776">
        <f t="shared" si="1404"/>
        <v>274273.77925923077</v>
      </c>
      <c r="P717" s="776">
        <f t="shared" si="1405"/>
        <v>2102765.6409874363</v>
      </c>
      <c r="Q717" s="779">
        <f>NCong!Q617</f>
        <v>49824.06846153846</v>
      </c>
    </row>
    <row r="718" spans="1:17" s="780" customFormat="1">
      <c r="A718" s="811" t="s">
        <v>767</v>
      </c>
      <c r="B718" s="810" t="s">
        <v>770</v>
      </c>
      <c r="C718" s="804" t="s">
        <v>51</v>
      </c>
      <c r="D718" s="801" t="s">
        <v>31</v>
      </c>
      <c r="E718" s="779">
        <f>NCong!O617</f>
        <v>2260408.8292500004</v>
      </c>
      <c r="F718" s="779"/>
      <c r="G718" s="779">
        <f t="shared" ref="G718:J718" si="1407">G709</f>
        <v>20309.51536666667</v>
      </c>
      <c r="H718" s="779">
        <f t="shared" si="1407"/>
        <v>27173.82</v>
      </c>
      <c r="I718" s="779">
        <f t="shared" si="1407"/>
        <v>18016.057475000001</v>
      </c>
      <c r="J718" s="779">
        <f t="shared" si="1407"/>
        <v>41441.675730000003</v>
      </c>
      <c r="K718" s="776">
        <f t="shared" si="1400"/>
        <v>2367349.8978216667</v>
      </c>
      <c r="L718" s="776">
        <f t="shared" si="1401"/>
        <v>355102.48467325</v>
      </c>
      <c r="M718" s="776">
        <f t="shared" si="1402"/>
        <v>2722452.3824949167</v>
      </c>
      <c r="N718" s="776">
        <f t="shared" si="1403"/>
        <v>2349333.8403466665</v>
      </c>
      <c r="O718" s="776">
        <f t="shared" si="1404"/>
        <v>352400.07605199999</v>
      </c>
      <c r="P718" s="776">
        <f t="shared" si="1405"/>
        <v>2701733.9163986663</v>
      </c>
      <c r="Q718" s="779">
        <f>NCong!R617</f>
        <v>64200.50153846154</v>
      </c>
    </row>
    <row r="719" spans="1:17" s="780" customFormat="1">
      <c r="A719" s="771">
        <v>24.2</v>
      </c>
      <c r="B719" s="808" t="s">
        <v>772</v>
      </c>
      <c r="C719" s="804" t="s">
        <v>51</v>
      </c>
      <c r="D719" s="801" t="s">
        <v>31</v>
      </c>
      <c r="E719" s="779"/>
      <c r="F719" s="779"/>
      <c r="G719" s="779"/>
      <c r="H719" s="779"/>
      <c r="I719" s="779"/>
      <c r="J719" s="779"/>
      <c r="K719" s="779"/>
      <c r="L719" s="779"/>
      <c r="M719" s="779"/>
      <c r="N719" s="779"/>
      <c r="O719" s="779"/>
      <c r="P719" s="779"/>
      <c r="Q719" s="779"/>
    </row>
    <row r="720" spans="1:17" s="780" customFormat="1">
      <c r="A720" s="811" t="s">
        <v>767</v>
      </c>
      <c r="B720" s="810" t="s">
        <v>768</v>
      </c>
      <c r="C720" s="804" t="s">
        <v>51</v>
      </c>
      <c r="D720" s="801" t="s">
        <v>31</v>
      </c>
      <c r="E720" s="779">
        <f>E716</f>
        <v>1756441.7475000001</v>
      </c>
      <c r="F720" s="779"/>
      <c r="G720" s="779">
        <f t="shared" ref="G720:J720" si="1408">G711</f>
        <v>9373.6224769230776</v>
      </c>
      <c r="H720" s="779">
        <f t="shared" si="1408"/>
        <v>7632.2919999999995</v>
      </c>
      <c r="I720" s="779">
        <f t="shared" si="1408"/>
        <v>8315.1034500000005</v>
      </c>
      <c r="J720" s="779">
        <f t="shared" si="1408"/>
        <v>19126.92726</v>
      </c>
      <c r="K720" s="776">
        <f t="shared" ref="K720:K722" si="1409">SUM(E720:J720)</f>
        <v>1800889.6926869231</v>
      </c>
      <c r="L720" s="776">
        <f t="shared" ref="L720:L722" si="1410">K720*15%</f>
        <v>270133.45390303846</v>
      </c>
      <c r="M720" s="776">
        <f t="shared" ref="M720:M722" si="1411">K720+L720</f>
        <v>2071023.1465899616</v>
      </c>
      <c r="N720" s="776">
        <f t="shared" ref="N720:N722" si="1412">K720-I720</f>
        <v>1792574.589236923</v>
      </c>
      <c r="O720" s="776">
        <f t="shared" ref="O720:O722" si="1413">$L$6*N720</f>
        <v>268886.18838553847</v>
      </c>
      <c r="P720" s="776">
        <f t="shared" ref="P720:P722" si="1414">N720+O720</f>
        <v>2061460.7776224616</v>
      </c>
      <c r="Q720" s="779">
        <f>Q716</f>
        <v>49888.486153846156</v>
      </c>
    </row>
    <row r="721" spans="1:17" s="780" customFormat="1">
      <c r="A721" s="811" t="s">
        <v>767</v>
      </c>
      <c r="B721" s="810" t="s">
        <v>769</v>
      </c>
      <c r="C721" s="804" t="s">
        <v>51</v>
      </c>
      <c r="D721" s="801" t="s">
        <v>31</v>
      </c>
      <c r="E721" s="779">
        <f t="shared" ref="E721:E722" si="1415">E717</f>
        <v>1753817.1255000003</v>
      </c>
      <c r="F721" s="779"/>
      <c r="G721" s="779">
        <f t="shared" ref="G721:J721" si="1416">G712</f>
        <v>9373.6224769230776</v>
      </c>
      <c r="H721" s="779">
        <f t="shared" si="1416"/>
        <v>7632.2919999999995</v>
      </c>
      <c r="I721" s="779">
        <f t="shared" si="1416"/>
        <v>8315.1034500000005</v>
      </c>
      <c r="J721" s="779">
        <f t="shared" si="1416"/>
        <v>19126.92726</v>
      </c>
      <c r="K721" s="776">
        <f t="shared" si="1409"/>
        <v>1798265.0706869233</v>
      </c>
      <c r="L721" s="776">
        <f t="shared" si="1410"/>
        <v>269739.76060303848</v>
      </c>
      <c r="M721" s="776">
        <f t="shared" si="1411"/>
        <v>2068004.8312899619</v>
      </c>
      <c r="N721" s="776">
        <f t="shared" si="1412"/>
        <v>1789949.9672369233</v>
      </c>
      <c r="O721" s="776">
        <f t="shared" si="1413"/>
        <v>268492.49508553848</v>
      </c>
      <c r="P721" s="776">
        <f t="shared" si="1414"/>
        <v>2058442.4623224619</v>
      </c>
      <c r="Q721" s="779">
        <f t="shared" ref="Q721:Q722" si="1417">Q717</f>
        <v>49824.06846153846</v>
      </c>
    </row>
    <row r="722" spans="1:17" s="780" customFormat="1">
      <c r="A722" s="811" t="s">
        <v>767</v>
      </c>
      <c r="B722" s="810" t="s">
        <v>770</v>
      </c>
      <c r="C722" s="804" t="s">
        <v>51</v>
      </c>
      <c r="D722" s="801" t="s">
        <v>31</v>
      </c>
      <c r="E722" s="779">
        <f t="shared" si="1415"/>
        <v>2260408.8292500004</v>
      </c>
      <c r="F722" s="779"/>
      <c r="G722" s="779">
        <f t="shared" ref="G722:J722" si="1418">G713</f>
        <v>12185.709220000001</v>
      </c>
      <c r="H722" s="779">
        <f t="shared" si="1418"/>
        <v>7632.2919999999995</v>
      </c>
      <c r="I722" s="779">
        <f t="shared" si="1418"/>
        <v>10809.634485</v>
      </c>
      <c r="J722" s="779">
        <f t="shared" si="1418"/>
        <v>24865.005438</v>
      </c>
      <c r="K722" s="776">
        <f t="shared" si="1409"/>
        <v>2315901.4703930002</v>
      </c>
      <c r="L722" s="776">
        <f t="shared" si="1410"/>
        <v>347385.22055895004</v>
      </c>
      <c r="M722" s="776">
        <f t="shared" si="1411"/>
        <v>2663286.6909519504</v>
      </c>
      <c r="N722" s="776">
        <f t="shared" si="1412"/>
        <v>2305091.8359080004</v>
      </c>
      <c r="O722" s="776">
        <f t="shared" si="1413"/>
        <v>345763.77538620005</v>
      </c>
      <c r="P722" s="776">
        <f t="shared" si="1414"/>
        <v>2650855.6112942006</v>
      </c>
      <c r="Q722" s="779">
        <f t="shared" si="1417"/>
        <v>64200.50153846154</v>
      </c>
    </row>
    <row r="723" spans="1:17" s="780" customFormat="1">
      <c r="A723" s="771">
        <v>25</v>
      </c>
      <c r="B723" s="808" t="s">
        <v>284</v>
      </c>
      <c r="C723" s="771" t="s">
        <v>51</v>
      </c>
      <c r="D723" s="771" t="s">
        <v>31</v>
      </c>
      <c r="E723" s="779"/>
      <c r="F723" s="779"/>
      <c r="G723" s="779"/>
      <c r="H723" s="779"/>
      <c r="I723" s="779"/>
      <c r="J723" s="779"/>
      <c r="K723" s="779"/>
      <c r="L723" s="779"/>
      <c r="M723" s="779"/>
      <c r="N723" s="779"/>
      <c r="O723" s="779"/>
      <c r="P723" s="779"/>
      <c r="Q723" s="779"/>
    </row>
    <row r="724" spans="1:17" s="780" customFormat="1">
      <c r="A724" s="771">
        <v>25.1</v>
      </c>
      <c r="B724" s="808" t="s">
        <v>771</v>
      </c>
      <c r="C724" s="804" t="s">
        <v>51</v>
      </c>
      <c r="D724" s="801" t="s">
        <v>31</v>
      </c>
      <c r="E724" s="779"/>
      <c r="F724" s="779"/>
      <c r="G724" s="779"/>
      <c r="H724" s="779"/>
      <c r="I724" s="779"/>
      <c r="J724" s="779"/>
      <c r="K724" s="779"/>
      <c r="L724" s="779"/>
      <c r="M724" s="779"/>
      <c r="N724" s="779"/>
      <c r="O724" s="779"/>
      <c r="P724" s="779"/>
      <c r="Q724" s="779"/>
    </row>
    <row r="725" spans="1:17" s="780" customFormat="1">
      <c r="A725" s="811" t="s">
        <v>767</v>
      </c>
      <c r="B725" s="810" t="s">
        <v>768</v>
      </c>
      <c r="C725" s="804" t="s">
        <v>51</v>
      </c>
      <c r="D725" s="801" t="s">
        <v>31</v>
      </c>
      <c r="E725" s="779">
        <f>E729</f>
        <v>416616.92159999989</v>
      </c>
      <c r="F725" s="779"/>
      <c r="G725" s="779">
        <f>G716</f>
        <v>15622.70412820513</v>
      </c>
      <c r="H725" s="779">
        <f t="shared" ref="H725:J725" si="1419">H716</f>
        <v>27173.82</v>
      </c>
      <c r="I725" s="779">
        <f t="shared" si="1419"/>
        <v>13858.50575</v>
      </c>
      <c r="J725" s="779">
        <f t="shared" si="1419"/>
        <v>31878.212100000001</v>
      </c>
      <c r="K725" s="776">
        <f t="shared" ref="K725:K727" si="1420">SUM(E725:J725)</f>
        <v>505150.16357820504</v>
      </c>
      <c r="L725" s="776">
        <f t="shared" ref="L725:L727" si="1421">K725*15%</f>
        <v>75772.524536730751</v>
      </c>
      <c r="M725" s="776">
        <f t="shared" ref="M725:M727" si="1422">K725+L725</f>
        <v>580922.68811493577</v>
      </c>
      <c r="N725" s="776">
        <f t="shared" ref="N725:N727" si="1423">K725-I725</f>
        <v>491291.65782820503</v>
      </c>
      <c r="O725" s="776">
        <f t="shared" ref="O725:O727" si="1424">$L$6*N725</f>
        <v>73693.748674230752</v>
      </c>
      <c r="P725" s="776">
        <f t="shared" ref="P725:P727" si="1425">N725+O725</f>
        <v>564985.4065024358</v>
      </c>
      <c r="Q725" s="779">
        <f>NCong!P618</f>
        <v>11638.622769230766</v>
      </c>
    </row>
    <row r="726" spans="1:17" s="780" customFormat="1">
      <c r="A726" s="811" t="s">
        <v>767</v>
      </c>
      <c r="B726" s="810" t="s">
        <v>769</v>
      </c>
      <c r="C726" s="804" t="s">
        <v>51</v>
      </c>
      <c r="D726" s="801" t="s">
        <v>31</v>
      </c>
      <c r="E726" s="779">
        <f t="shared" ref="E726:E727" si="1426">E730</f>
        <v>395040.94244999991</v>
      </c>
      <c r="F726" s="779"/>
      <c r="G726" s="779">
        <f t="shared" ref="G726:J726" si="1427">G717</f>
        <v>15622.70412820513</v>
      </c>
      <c r="H726" s="779">
        <f t="shared" si="1427"/>
        <v>27173.82</v>
      </c>
      <c r="I726" s="779">
        <f t="shared" si="1427"/>
        <v>13858.50575</v>
      </c>
      <c r="J726" s="779">
        <f t="shared" si="1427"/>
        <v>31878.212100000001</v>
      </c>
      <c r="K726" s="776">
        <f t="shared" si="1420"/>
        <v>483574.18442820507</v>
      </c>
      <c r="L726" s="776">
        <f t="shared" si="1421"/>
        <v>72536.127664230764</v>
      </c>
      <c r="M726" s="776">
        <f t="shared" si="1422"/>
        <v>556110.31209243578</v>
      </c>
      <c r="N726" s="776">
        <f t="shared" si="1423"/>
        <v>469715.67867820506</v>
      </c>
      <c r="O726" s="776">
        <f t="shared" si="1424"/>
        <v>70457.351801730751</v>
      </c>
      <c r="P726" s="776">
        <f t="shared" si="1425"/>
        <v>540173.03047993581</v>
      </c>
      <c r="Q726" s="779">
        <f>NCong!Q618</f>
        <v>11009.17823076923</v>
      </c>
    </row>
    <row r="727" spans="1:17" s="780" customFormat="1">
      <c r="A727" s="811" t="s">
        <v>767</v>
      </c>
      <c r="B727" s="810" t="s">
        <v>770</v>
      </c>
      <c r="C727" s="804" t="s">
        <v>51</v>
      </c>
      <c r="D727" s="801" t="s">
        <v>31</v>
      </c>
      <c r="E727" s="779">
        <f t="shared" si="1426"/>
        <v>514106.48684999993</v>
      </c>
      <c r="F727" s="779"/>
      <c r="G727" s="779">
        <f t="shared" ref="G727:J727" si="1428">G718</f>
        <v>20309.51536666667</v>
      </c>
      <c r="H727" s="779">
        <f t="shared" si="1428"/>
        <v>27173.82</v>
      </c>
      <c r="I727" s="779">
        <f t="shared" si="1428"/>
        <v>18016.057475000001</v>
      </c>
      <c r="J727" s="779">
        <f t="shared" si="1428"/>
        <v>41441.675730000003</v>
      </c>
      <c r="K727" s="776">
        <f t="shared" si="1420"/>
        <v>621047.55542166659</v>
      </c>
      <c r="L727" s="776">
        <f t="shared" si="1421"/>
        <v>93157.133313249986</v>
      </c>
      <c r="M727" s="776">
        <f t="shared" si="1422"/>
        <v>714204.68873491662</v>
      </c>
      <c r="N727" s="776">
        <f t="shared" si="1423"/>
        <v>603031.49794666655</v>
      </c>
      <c r="O727" s="776">
        <f t="shared" si="1424"/>
        <v>90454.724691999974</v>
      </c>
      <c r="P727" s="776">
        <f t="shared" si="1425"/>
        <v>693486.22263866651</v>
      </c>
      <c r="Q727" s="779">
        <f>NCong!R618</f>
        <v>14337.354307692303</v>
      </c>
    </row>
    <row r="728" spans="1:17" s="780" customFormat="1">
      <c r="A728" s="771">
        <v>25.2</v>
      </c>
      <c r="B728" s="808" t="s">
        <v>772</v>
      </c>
      <c r="C728" s="804" t="s">
        <v>51</v>
      </c>
      <c r="D728" s="801" t="s">
        <v>31</v>
      </c>
      <c r="E728" s="779"/>
      <c r="F728" s="779"/>
      <c r="G728" s="779"/>
      <c r="H728" s="779"/>
      <c r="I728" s="779"/>
      <c r="J728" s="779"/>
      <c r="K728" s="779"/>
      <c r="L728" s="779"/>
      <c r="M728" s="779"/>
      <c r="N728" s="779"/>
      <c r="O728" s="779"/>
      <c r="P728" s="779"/>
      <c r="Q728" s="779"/>
    </row>
    <row r="729" spans="1:17" s="780" customFormat="1">
      <c r="A729" s="811" t="s">
        <v>767</v>
      </c>
      <c r="B729" s="810" t="s">
        <v>768</v>
      </c>
      <c r="C729" s="804" t="s">
        <v>51</v>
      </c>
      <c r="D729" s="801" t="s">
        <v>31</v>
      </c>
      <c r="E729" s="779">
        <f>NCong!M618</f>
        <v>416616.92159999989</v>
      </c>
      <c r="F729" s="779"/>
      <c r="G729" s="779">
        <f>G720</f>
        <v>9373.6224769230776</v>
      </c>
      <c r="H729" s="779">
        <f t="shared" ref="H729:J729" si="1429">H720</f>
        <v>7632.2919999999995</v>
      </c>
      <c r="I729" s="779">
        <f t="shared" si="1429"/>
        <v>8315.1034500000005</v>
      </c>
      <c r="J729" s="779">
        <f t="shared" si="1429"/>
        <v>19126.92726</v>
      </c>
      <c r="K729" s="776">
        <f t="shared" ref="K729:K731" si="1430">SUM(E729:J729)</f>
        <v>461064.86678692303</v>
      </c>
      <c r="L729" s="776">
        <f t="shared" ref="L729:L731" si="1431">K729*15%</f>
        <v>69159.730018038448</v>
      </c>
      <c r="M729" s="776">
        <f t="shared" ref="M729:M731" si="1432">K729+L729</f>
        <v>530224.59680496145</v>
      </c>
      <c r="N729" s="776">
        <f t="shared" ref="N729:N731" si="1433">K729-I729</f>
        <v>452749.76333692303</v>
      </c>
      <c r="O729" s="776">
        <f t="shared" ref="O729:O731" si="1434">$L$6*N729</f>
        <v>67912.464500538452</v>
      </c>
      <c r="P729" s="776">
        <f t="shared" ref="P729:P731" si="1435">N729+O729</f>
        <v>520662.22783746151</v>
      </c>
      <c r="Q729" s="779">
        <f>Q725</f>
        <v>11638.622769230766</v>
      </c>
    </row>
    <row r="730" spans="1:17" s="780" customFormat="1">
      <c r="A730" s="811" t="s">
        <v>767</v>
      </c>
      <c r="B730" s="810" t="s">
        <v>769</v>
      </c>
      <c r="C730" s="804" t="s">
        <v>51</v>
      </c>
      <c r="D730" s="801" t="s">
        <v>31</v>
      </c>
      <c r="E730" s="779">
        <f>NCong!N618</f>
        <v>395040.94244999991</v>
      </c>
      <c r="F730" s="779"/>
      <c r="G730" s="779">
        <f t="shared" ref="G730:J730" si="1436">G721</f>
        <v>9373.6224769230776</v>
      </c>
      <c r="H730" s="779">
        <f t="shared" si="1436"/>
        <v>7632.2919999999995</v>
      </c>
      <c r="I730" s="779">
        <f t="shared" si="1436"/>
        <v>8315.1034500000005</v>
      </c>
      <c r="J730" s="779">
        <f t="shared" si="1436"/>
        <v>19126.92726</v>
      </c>
      <c r="K730" s="776">
        <f t="shared" si="1430"/>
        <v>439488.88763692306</v>
      </c>
      <c r="L730" s="776">
        <f t="shared" si="1431"/>
        <v>65923.333145538461</v>
      </c>
      <c r="M730" s="776">
        <f t="shared" si="1432"/>
        <v>505412.22078246152</v>
      </c>
      <c r="N730" s="776">
        <f t="shared" si="1433"/>
        <v>431173.78418692306</v>
      </c>
      <c r="O730" s="776">
        <f t="shared" si="1434"/>
        <v>64676.067628038458</v>
      </c>
      <c r="P730" s="776">
        <f t="shared" si="1435"/>
        <v>495849.85181496153</v>
      </c>
      <c r="Q730" s="779">
        <f t="shared" ref="Q730:Q731" si="1437">Q726</f>
        <v>11009.17823076923</v>
      </c>
    </row>
    <row r="731" spans="1:17" s="780" customFormat="1">
      <c r="A731" s="811" t="s">
        <v>767</v>
      </c>
      <c r="B731" s="810" t="s">
        <v>770</v>
      </c>
      <c r="C731" s="804" t="s">
        <v>51</v>
      </c>
      <c r="D731" s="801" t="s">
        <v>31</v>
      </c>
      <c r="E731" s="779">
        <f>NCong!O618</f>
        <v>514106.48684999993</v>
      </c>
      <c r="F731" s="779"/>
      <c r="G731" s="779">
        <f t="shared" ref="G731:J731" si="1438">G722</f>
        <v>12185.709220000001</v>
      </c>
      <c r="H731" s="779">
        <f t="shared" si="1438"/>
        <v>7632.2919999999995</v>
      </c>
      <c r="I731" s="779">
        <f t="shared" si="1438"/>
        <v>10809.634485</v>
      </c>
      <c r="J731" s="779">
        <f t="shared" si="1438"/>
        <v>24865.005438</v>
      </c>
      <c r="K731" s="776">
        <f t="shared" si="1430"/>
        <v>569599.12799299997</v>
      </c>
      <c r="L731" s="776">
        <f t="shared" si="1431"/>
        <v>85439.869198949993</v>
      </c>
      <c r="M731" s="776">
        <f t="shared" si="1432"/>
        <v>655038.99719194998</v>
      </c>
      <c r="N731" s="776">
        <f t="shared" si="1433"/>
        <v>558789.49350799993</v>
      </c>
      <c r="O731" s="776">
        <f t="shared" si="1434"/>
        <v>83818.42402619998</v>
      </c>
      <c r="P731" s="776">
        <f t="shared" si="1435"/>
        <v>642607.91753419989</v>
      </c>
      <c r="Q731" s="779">
        <f t="shared" si="1437"/>
        <v>14337.354307692303</v>
      </c>
    </row>
    <row r="732" spans="1:17" s="770" customFormat="1">
      <c r="A732" s="771" t="s">
        <v>569</v>
      </c>
      <c r="B732" s="786" t="str">
        <f>NCong!B622</f>
        <v>TRÍCH LỤC HỒ SƠ ĐỊA CHÍNH</v>
      </c>
      <c r="C732" s="771" t="s">
        <v>51</v>
      </c>
      <c r="D732" s="771">
        <v>1</v>
      </c>
      <c r="E732" s="776">
        <f>NCong!I622</f>
        <v>64173.450000000004</v>
      </c>
      <c r="F732" s="776"/>
      <c r="G732" s="776">
        <f>Dcu!J252</f>
        <v>984.18846153846152</v>
      </c>
      <c r="H732" s="776">
        <f>VLieu!H187</f>
        <v>39450</v>
      </c>
      <c r="I732" s="776">
        <f>Tbi!I165</f>
        <v>1677.7932142857144</v>
      </c>
      <c r="J732" s="776">
        <f>Tbi!I170+Dcu!J251</f>
        <v>5083.2936</v>
      </c>
      <c r="K732" s="776">
        <f>SUM(E732:J732)</f>
        <v>111368.7252758242</v>
      </c>
      <c r="L732" s="776">
        <f>$L$6*K732</f>
        <v>16705.308791373627</v>
      </c>
      <c r="M732" s="776">
        <f>K732+L732</f>
        <v>128074.03406719782</v>
      </c>
      <c r="N732" s="776"/>
      <c r="O732" s="776"/>
      <c r="P732" s="776"/>
      <c r="Q732" s="776">
        <f>NCong!J622</f>
        <v>1946.1538461538462</v>
      </c>
    </row>
    <row r="733" spans="1:17" s="770" customFormat="1">
      <c r="A733" s="771"/>
      <c r="B733" s="786" t="str">
        <f>NCong!B630</f>
        <v>Ghi chú:</v>
      </c>
      <c r="C733" s="771"/>
      <c r="D733" s="771"/>
      <c r="E733" s="813"/>
      <c r="F733" s="813"/>
      <c r="G733" s="813"/>
      <c r="H733" s="813"/>
      <c r="I733" s="813"/>
      <c r="J733" s="813"/>
      <c r="K733" s="813"/>
      <c r="L733" s="813"/>
      <c r="M733" s="813"/>
      <c r="N733" s="813"/>
      <c r="O733" s="813"/>
      <c r="P733" s="813"/>
      <c r="Q733" s="813"/>
    </row>
    <row r="734" spans="1:17">
      <c r="A734" s="785">
        <f>NCong!A631</f>
        <v>1</v>
      </c>
      <c r="B734" s="795" t="str">
        <f>NCong!B631</f>
        <v>Trường hợp trích lục hồ sơ cho 01 khu đất (gồm nhiều thửa) mức áp dụng như sau:</v>
      </c>
      <c r="C734" s="785" t="s">
        <v>51</v>
      </c>
      <c r="D734" s="785"/>
      <c r="E734" s="796"/>
      <c r="F734" s="796"/>
      <c r="G734" s="796"/>
      <c r="H734" s="796"/>
      <c r="I734" s="796"/>
      <c r="J734" s="796"/>
      <c r="K734" s="796">
        <f>SUM(E734:J734)</f>
        <v>0</v>
      </c>
      <c r="L734" s="796">
        <f>$L$6*K734</f>
        <v>0</v>
      </c>
      <c r="M734" s="796">
        <f>K734+L734</f>
        <v>0</v>
      </c>
      <c r="N734" s="796"/>
      <c r="O734" s="796"/>
      <c r="P734" s="796"/>
      <c r="Q734" s="796"/>
    </row>
    <row r="735" spans="1:17">
      <c r="A735" s="785">
        <f>NCong!A632</f>
        <v>0</v>
      </c>
      <c r="B735" s="795" t="s">
        <v>745</v>
      </c>
      <c r="C735" s="785" t="s">
        <v>51</v>
      </c>
      <c r="D735" s="801" t="s">
        <v>31</v>
      </c>
      <c r="E735" s="796">
        <f t="shared" ref="E735:J735" si="1439">E$732*0.8</f>
        <v>51338.760000000009</v>
      </c>
      <c r="F735" s="796">
        <f t="shared" si="1439"/>
        <v>0</v>
      </c>
      <c r="G735" s="796">
        <f t="shared" si="1439"/>
        <v>787.35076923076929</v>
      </c>
      <c r="H735" s="796">
        <f t="shared" si="1439"/>
        <v>31560</v>
      </c>
      <c r="I735" s="796">
        <f t="shared" si="1439"/>
        <v>1342.2345714285716</v>
      </c>
      <c r="J735" s="796">
        <f t="shared" si="1439"/>
        <v>4066.6348800000001</v>
      </c>
      <c r="K735" s="776">
        <f t="shared" ref="K735:K737" si="1440">SUM(E735:J735)</f>
        <v>89094.980220659359</v>
      </c>
      <c r="L735" s="776">
        <f t="shared" ref="L735:L737" si="1441">K735*15%</f>
        <v>13364.247033098904</v>
      </c>
      <c r="M735" s="776">
        <f t="shared" ref="M735:M737" si="1442">K735+L735</f>
        <v>102459.22725375826</v>
      </c>
      <c r="N735" s="776">
        <f t="shared" ref="N735:N737" si="1443">K735-I735</f>
        <v>87752.745649230783</v>
      </c>
      <c r="O735" s="776">
        <f t="shared" ref="O735:O737" si="1444">$L$6*N735</f>
        <v>13162.911847384617</v>
      </c>
      <c r="P735" s="776">
        <f t="shared" ref="P735:P737" si="1445">N735+O735</f>
        <v>100915.6574966154</v>
      </c>
      <c r="Q735" s="796">
        <f>Q$732*0.8</f>
        <v>1556.9230769230771</v>
      </c>
    </row>
    <row r="736" spans="1:17">
      <c r="A736" s="785">
        <f>NCong!A633</f>
        <v>0</v>
      </c>
      <c r="B736" s="795" t="s">
        <v>746</v>
      </c>
      <c r="C736" s="785" t="s">
        <v>51</v>
      </c>
      <c r="D736" s="801" t="s">
        <v>31</v>
      </c>
      <c r="E736" s="796">
        <f t="shared" ref="E736:J736" si="1446">E$732*0.65</f>
        <v>41712.742500000008</v>
      </c>
      <c r="F736" s="796">
        <f t="shared" si="1446"/>
        <v>0</v>
      </c>
      <c r="G736" s="796">
        <f t="shared" si="1446"/>
        <v>639.72249999999997</v>
      </c>
      <c r="H736" s="796">
        <f t="shared" si="1446"/>
        <v>25642.5</v>
      </c>
      <c r="I736" s="796">
        <f t="shared" si="1446"/>
        <v>1090.5655892857144</v>
      </c>
      <c r="J736" s="796">
        <f t="shared" si="1446"/>
        <v>3304.14084</v>
      </c>
      <c r="K736" s="776">
        <f t="shared" si="1440"/>
        <v>72389.671429285721</v>
      </c>
      <c r="L736" s="776">
        <f t="shared" si="1441"/>
        <v>10858.450714392859</v>
      </c>
      <c r="M736" s="776">
        <f t="shared" si="1442"/>
        <v>83248.122143678585</v>
      </c>
      <c r="N736" s="776">
        <f t="shared" si="1443"/>
        <v>71299.105840000004</v>
      </c>
      <c r="O736" s="776">
        <f t="shared" si="1444"/>
        <v>10694.865876</v>
      </c>
      <c r="P736" s="776">
        <f t="shared" si="1445"/>
        <v>81993.971716</v>
      </c>
      <c r="Q736" s="796">
        <f>Q$732*0.65</f>
        <v>1265</v>
      </c>
    </row>
    <row r="737" spans="1:17">
      <c r="A737" s="785">
        <f>NCong!A634</f>
        <v>0</v>
      </c>
      <c r="B737" s="795" t="s">
        <v>747</v>
      </c>
      <c r="C737" s="785" t="s">
        <v>51</v>
      </c>
      <c r="D737" s="801" t="s">
        <v>31</v>
      </c>
      <c r="E737" s="796">
        <f t="shared" ref="E737:J737" si="1447">E$732*0.5</f>
        <v>32086.725000000002</v>
      </c>
      <c r="F737" s="796">
        <f t="shared" si="1447"/>
        <v>0</v>
      </c>
      <c r="G737" s="796">
        <f t="shared" si="1447"/>
        <v>492.09423076923076</v>
      </c>
      <c r="H737" s="796">
        <f t="shared" si="1447"/>
        <v>19725</v>
      </c>
      <c r="I737" s="796">
        <f t="shared" si="1447"/>
        <v>838.89660714285719</v>
      </c>
      <c r="J737" s="796">
        <f t="shared" si="1447"/>
        <v>2541.6468</v>
      </c>
      <c r="K737" s="776">
        <f t="shared" si="1440"/>
        <v>55684.362637912098</v>
      </c>
      <c r="L737" s="776">
        <f t="shared" si="1441"/>
        <v>8352.6543956868136</v>
      </c>
      <c r="M737" s="776">
        <f t="shared" si="1442"/>
        <v>64037.01703359891</v>
      </c>
      <c r="N737" s="776">
        <f t="shared" si="1443"/>
        <v>54845.466030769239</v>
      </c>
      <c r="O737" s="776">
        <f t="shared" si="1444"/>
        <v>8226.8199046153859</v>
      </c>
      <c r="P737" s="776">
        <f t="shared" si="1445"/>
        <v>63072.285935384629</v>
      </c>
      <c r="Q737" s="796">
        <f>Q$732*0.5</f>
        <v>973.07692307692309</v>
      </c>
    </row>
  </sheetData>
  <mergeCells count="192">
    <mergeCell ref="A190:A192"/>
    <mergeCell ref="B190:B192"/>
    <mergeCell ref="C190:C192"/>
    <mergeCell ref="A180:A182"/>
    <mergeCell ref="B180:B182"/>
    <mergeCell ref="C180:C182"/>
    <mergeCell ref="A184:A186"/>
    <mergeCell ref="B184:B186"/>
    <mergeCell ref="C184:C186"/>
    <mergeCell ref="A187:A189"/>
    <mergeCell ref="B187:B189"/>
    <mergeCell ref="C187:C189"/>
    <mergeCell ref="A119:A121"/>
    <mergeCell ref="B119:B121"/>
    <mergeCell ref="C119:C121"/>
    <mergeCell ref="A122:A124"/>
    <mergeCell ref="B122:B124"/>
    <mergeCell ref="C122:C124"/>
    <mergeCell ref="A171:A173"/>
    <mergeCell ref="B171:B173"/>
    <mergeCell ref="C171:C173"/>
    <mergeCell ref="A68:A70"/>
    <mergeCell ref="B68:B70"/>
    <mergeCell ref="C68:C70"/>
    <mergeCell ref="A71:A73"/>
    <mergeCell ref="B71:B73"/>
    <mergeCell ref="C71:C73"/>
    <mergeCell ref="A100:A102"/>
    <mergeCell ref="B100:B102"/>
    <mergeCell ref="C100:C102"/>
    <mergeCell ref="A85:A87"/>
    <mergeCell ref="A88:A90"/>
    <mergeCell ref="A37:A39"/>
    <mergeCell ref="B37:B39"/>
    <mergeCell ref="C37:C39"/>
    <mergeCell ref="A48:A50"/>
    <mergeCell ref="B48:B50"/>
    <mergeCell ref="C48:C50"/>
    <mergeCell ref="A51:A53"/>
    <mergeCell ref="B51:B53"/>
    <mergeCell ref="C51:C53"/>
    <mergeCell ref="A28:A30"/>
    <mergeCell ref="B28:B30"/>
    <mergeCell ref="C28:C30"/>
    <mergeCell ref="A31:A33"/>
    <mergeCell ref="B31:B33"/>
    <mergeCell ref="C31:C33"/>
    <mergeCell ref="A34:A36"/>
    <mergeCell ref="B34:B36"/>
    <mergeCell ref="C34:C36"/>
    <mergeCell ref="B206:P206"/>
    <mergeCell ref="B207:P207"/>
    <mergeCell ref="B212:P212"/>
    <mergeCell ref="B219:P219"/>
    <mergeCell ref="B220:P220"/>
    <mergeCell ref="B224:P224"/>
    <mergeCell ref="A157:A159"/>
    <mergeCell ref="B157:B159"/>
    <mergeCell ref="C157:C159"/>
    <mergeCell ref="A161:A163"/>
    <mergeCell ref="B161:B163"/>
    <mergeCell ref="C161:C163"/>
    <mergeCell ref="A167:A169"/>
    <mergeCell ref="B167:B169"/>
    <mergeCell ref="C167:C169"/>
    <mergeCell ref="A164:A166"/>
    <mergeCell ref="B164:B166"/>
    <mergeCell ref="C164:C166"/>
    <mergeCell ref="A174:A176"/>
    <mergeCell ref="B174:B176"/>
    <mergeCell ref="C174:C176"/>
    <mergeCell ref="A177:A179"/>
    <mergeCell ref="B177:B179"/>
    <mergeCell ref="C177:C179"/>
    <mergeCell ref="Q3:Q5"/>
    <mergeCell ref="A133:A135"/>
    <mergeCell ref="B133:B135"/>
    <mergeCell ref="A136:A138"/>
    <mergeCell ref="B136:B138"/>
    <mergeCell ref="C133:C135"/>
    <mergeCell ref="B85:B87"/>
    <mergeCell ref="C64:C66"/>
    <mergeCell ref="C74:C76"/>
    <mergeCell ref="C78:C80"/>
    <mergeCell ref="C85:C87"/>
    <mergeCell ref="A81:A83"/>
    <mergeCell ref="B81:B83"/>
    <mergeCell ref="C81:C83"/>
    <mergeCell ref="C136:C138"/>
    <mergeCell ref="A12:A14"/>
    <mergeCell ref="B58:P58"/>
    <mergeCell ref="A64:A66"/>
    <mergeCell ref="A74:A76"/>
    <mergeCell ref="A78:A80"/>
    <mergeCell ref="B64:B66"/>
    <mergeCell ref="B74:B76"/>
    <mergeCell ref="B78:B80"/>
    <mergeCell ref="E3:E6"/>
    <mergeCell ref="H3:H6"/>
    <mergeCell ref="I3:I6"/>
    <mergeCell ref="J3:J6"/>
    <mergeCell ref="N4:N6"/>
    <mergeCell ref="O4:O5"/>
    <mergeCell ref="P4:P6"/>
    <mergeCell ref="B7:P7"/>
    <mergeCell ref="B12:B14"/>
    <mergeCell ref="C12:C14"/>
    <mergeCell ref="K3:M3"/>
    <mergeCell ref="N3:P3"/>
    <mergeCell ref="B21:B23"/>
    <mergeCell ref="A21:A23"/>
    <mergeCell ref="C21:C23"/>
    <mergeCell ref="A3:A6"/>
    <mergeCell ref="B3:B6"/>
    <mergeCell ref="C3:C6"/>
    <mergeCell ref="D3:D6"/>
    <mergeCell ref="G3:G6"/>
    <mergeCell ref="A15:A17"/>
    <mergeCell ref="B15:B17"/>
    <mergeCell ref="F3:F6"/>
    <mergeCell ref="C61:C63"/>
    <mergeCell ref="A25:A27"/>
    <mergeCell ref="B25:B27"/>
    <mergeCell ref="C25:C27"/>
    <mergeCell ref="A148:A150"/>
    <mergeCell ref="B148:B150"/>
    <mergeCell ref="B193:B195"/>
    <mergeCell ref="C148:C150"/>
    <mergeCell ref="A193:A195"/>
    <mergeCell ref="C193:C195"/>
    <mergeCell ref="B88:B90"/>
    <mergeCell ref="C88:C90"/>
    <mergeCell ref="B110:P110"/>
    <mergeCell ref="A115:A117"/>
    <mergeCell ref="B115:B117"/>
    <mergeCell ref="C115:C117"/>
    <mergeCell ref="B146:P146"/>
    <mergeCell ref="A154:A156"/>
    <mergeCell ref="B154:B156"/>
    <mergeCell ref="C154:C156"/>
    <mergeCell ref="A151:A153"/>
    <mergeCell ref="B151:B153"/>
    <mergeCell ref="C151:C153"/>
    <mergeCell ref="A112:A114"/>
    <mergeCell ref="B112:B114"/>
    <mergeCell ref="A103:A105"/>
    <mergeCell ref="B103:B105"/>
    <mergeCell ref="C103:C105"/>
    <mergeCell ref="A1:Q1"/>
    <mergeCell ref="A2:Q2"/>
    <mergeCell ref="L4:L5"/>
    <mergeCell ref="M4:M6"/>
    <mergeCell ref="A9:A11"/>
    <mergeCell ref="B106:B108"/>
    <mergeCell ref="C106:C108"/>
    <mergeCell ref="A61:A63"/>
    <mergeCell ref="A106:A108"/>
    <mergeCell ref="B61:B63"/>
    <mergeCell ref="A54:A56"/>
    <mergeCell ref="K4:K6"/>
    <mergeCell ref="B54:B56"/>
    <mergeCell ref="C54:C56"/>
    <mergeCell ref="C15:C17"/>
    <mergeCell ref="B18:B20"/>
    <mergeCell ref="C18:C20"/>
    <mergeCell ref="A18:A20"/>
    <mergeCell ref="B9:B11"/>
    <mergeCell ref="C9:C11"/>
    <mergeCell ref="B230:P230"/>
    <mergeCell ref="B495:P495"/>
    <mergeCell ref="A41:A43"/>
    <mergeCell ref="B41:B43"/>
    <mergeCell ref="C41:C43"/>
    <mergeCell ref="A44:A46"/>
    <mergeCell ref="B44:B46"/>
    <mergeCell ref="C44:C46"/>
    <mergeCell ref="A93:A95"/>
    <mergeCell ref="B93:B95"/>
    <mergeCell ref="C93:C95"/>
    <mergeCell ref="A96:A98"/>
    <mergeCell ref="B96:B98"/>
    <mergeCell ref="C96:C98"/>
    <mergeCell ref="A139:A141"/>
    <mergeCell ref="B139:B141"/>
    <mergeCell ref="C139:C141"/>
    <mergeCell ref="C112:C114"/>
    <mergeCell ref="A126:A128"/>
    <mergeCell ref="B126:B128"/>
    <mergeCell ref="C126:C128"/>
    <mergeCell ref="A129:A131"/>
    <mergeCell ref="B129:B131"/>
    <mergeCell ref="C129:C131"/>
  </mergeCells>
  <phoneticPr fontId="4" type="noConversion"/>
  <printOptions horizontalCentered="1"/>
  <pageMargins left="1.5" right="0.196850393700787" top="0.78740157480314998" bottom="0.39370078740157499" header="0.39370078740157499" footer="0.39370078740157499"/>
  <pageSetup scale="60" firstPageNumber="23" pageOrder="overThenDown" orientation="landscape" useFirstPageNumber="1" r:id="rId1"/>
  <headerFooter alignWithMargins="0">
    <oddFooter>Page &amp;P</oddFooter>
  </headerFooter>
  <rowBreaks count="4" manualBreakCount="4">
    <brk id="57" max="16383" man="1"/>
    <brk id="147" max="16383" man="1"/>
    <brk id="205" max="16383" man="1"/>
    <brk id="731" max="16383" man="1"/>
  </rowBreaks>
  <ignoredErrors>
    <ignoredError sqref="I18:I20 H64:H66 H81:H83 H88:H90 H129:H131 H154:H156 H158:H159 G214 H214:J214 H234 H499 H501 H503 H44 H45:H46 H96:H98 H246:H248 H236:H238 G9:G11 G25:G27 H12:H14 H28:H30 H51 H52:H53 H71:H73 G148:G150 H177:H179" formula="1"/>
    <ignoredError sqref="D106:H108 D62:D63 D113:D114 D85:D87 D74:D76 D78:D80 D82:D83 D89:D90 D116:D117 D127:D128 D130:D131 D134:D138 D94:D98 D65:D66 D69:D73 D101:D105 D120:D124" numberStoredAsText="1"/>
    <ignoredError sqref="F62:F63" numberStoredAsText="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Q737"/>
  <sheetViews>
    <sheetView showZeros="0" topLeftCell="A16" zoomScale="130" zoomScaleNormal="130" workbookViewId="0">
      <selection activeCell="S21" sqref="S21"/>
    </sheetView>
  </sheetViews>
  <sheetFormatPr defaultColWidth="9" defaultRowHeight="7"/>
  <cols>
    <col min="1" max="1" width="5.84375" style="814" bestFit="1" customWidth="1"/>
    <col min="2" max="2" width="39.69140625" style="768" customWidth="1"/>
    <col min="3" max="3" width="4.53515625" style="814" bestFit="1" customWidth="1"/>
    <col min="4" max="4" width="3.4609375" style="814" bestFit="1" customWidth="1"/>
    <col min="5" max="5" width="7.4609375" style="768" hidden="1" customWidth="1"/>
    <col min="6" max="6" width="6.23046875" style="768" hidden="1" customWidth="1"/>
    <col min="7" max="7" width="5.53515625" style="768" hidden="1" customWidth="1"/>
    <col min="8" max="8" width="5.765625" style="768" hidden="1" customWidth="1"/>
    <col min="9" max="9" width="5.07421875" style="768" hidden="1" customWidth="1"/>
    <col min="10" max="10" width="5.765625" style="768" hidden="1" customWidth="1"/>
    <col min="11" max="11" width="6.23046875" style="768" customWidth="1"/>
    <col min="12" max="12" width="6.53515625" style="768" bestFit="1" customWidth="1"/>
    <col min="13" max="13" width="6.3046875" style="768" customWidth="1"/>
    <col min="14" max="14" width="6.53515625" style="768" customWidth="1"/>
    <col min="15" max="15" width="5.53515625" style="768" bestFit="1" customWidth="1"/>
    <col min="16" max="16" width="6.3046875" style="768" customWidth="1"/>
    <col min="17" max="17" width="6.3046875" style="768" bestFit="1" customWidth="1"/>
    <col min="18" max="16384" width="9" style="768"/>
  </cols>
  <sheetData>
    <row r="1" spans="1:17" ht="24.75" customHeight="1">
      <c r="A1" s="1093" t="s">
        <v>657</v>
      </c>
      <c r="B1" s="1093"/>
      <c r="C1" s="1093"/>
      <c r="D1" s="1093"/>
      <c r="E1" s="1093"/>
      <c r="F1" s="1093"/>
      <c r="G1" s="1093"/>
      <c r="H1" s="1093"/>
      <c r="I1" s="1093"/>
      <c r="J1" s="1093"/>
      <c r="K1" s="1093"/>
      <c r="L1" s="1093"/>
      <c r="M1" s="1093"/>
      <c r="N1" s="1093"/>
      <c r="O1" s="1093"/>
      <c r="P1" s="1093"/>
      <c r="Q1" s="1093"/>
    </row>
    <row r="2" spans="1:17" s="770" customFormat="1">
      <c r="A2" s="1094"/>
      <c r="B2" s="1094"/>
      <c r="C2" s="1094"/>
      <c r="D2" s="1094"/>
      <c r="E2" s="1094"/>
      <c r="F2" s="1094"/>
      <c r="G2" s="1094"/>
      <c r="H2" s="1094"/>
      <c r="I2" s="1094"/>
      <c r="J2" s="1094"/>
      <c r="K2" s="1094"/>
      <c r="L2" s="1094"/>
      <c r="M2" s="1094"/>
      <c r="N2" s="1094"/>
      <c r="O2" s="1094"/>
      <c r="P2" s="1094"/>
      <c r="Q2" s="1094"/>
    </row>
    <row r="3" spans="1:17">
      <c r="A3" s="1084" t="s">
        <v>28</v>
      </c>
      <c r="B3" s="1084" t="s">
        <v>15</v>
      </c>
      <c r="C3" s="1084" t="s">
        <v>38</v>
      </c>
      <c r="D3" s="1084" t="s">
        <v>434</v>
      </c>
      <c r="E3" s="1084" t="s">
        <v>7</v>
      </c>
      <c r="F3" s="1084" t="s">
        <v>8</v>
      </c>
      <c r="G3" s="1084" t="s">
        <v>9</v>
      </c>
      <c r="H3" s="1084" t="s">
        <v>10</v>
      </c>
      <c r="I3" s="1084" t="s">
        <v>422</v>
      </c>
      <c r="J3" s="1084" t="s">
        <v>421</v>
      </c>
      <c r="K3" s="1084" t="s">
        <v>706</v>
      </c>
      <c r="L3" s="1102"/>
      <c r="M3" s="1102"/>
      <c r="N3" s="1084" t="s">
        <v>707</v>
      </c>
      <c r="O3" s="1102"/>
      <c r="P3" s="1102"/>
      <c r="Q3" s="1084" t="s">
        <v>26</v>
      </c>
    </row>
    <row r="4" spans="1:17" s="769" customFormat="1" ht="12.75" customHeight="1">
      <c r="A4" s="1101"/>
      <c r="B4" s="1101"/>
      <c r="C4" s="1101"/>
      <c r="D4" s="1101"/>
      <c r="E4" s="1101"/>
      <c r="F4" s="1101"/>
      <c r="G4" s="1101"/>
      <c r="H4" s="1101"/>
      <c r="I4" s="1101"/>
      <c r="J4" s="1101"/>
      <c r="K4" s="1084" t="s">
        <v>11</v>
      </c>
      <c r="L4" s="1084" t="s">
        <v>12</v>
      </c>
      <c r="M4" s="1084" t="s">
        <v>775</v>
      </c>
      <c r="N4" s="1084" t="s">
        <v>11</v>
      </c>
      <c r="O4" s="1084" t="s">
        <v>12</v>
      </c>
      <c r="P4" s="1084" t="s">
        <v>13</v>
      </c>
      <c r="Q4" s="1101"/>
    </row>
    <row r="5" spans="1:17" s="769" customFormat="1">
      <c r="A5" s="1101"/>
      <c r="B5" s="1101"/>
      <c r="C5" s="1101"/>
      <c r="D5" s="1101"/>
      <c r="E5" s="1101"/>
      <c r="F5" s="1101"/>
      <c r="G5" s="1101"/>
      <c r="H5" s="1101"/>
      <c r="I5" s="1101"/>
      <c r="J5" s="1101"/>
      <c r="K5" s="1084"/>
      <c r="L5" s="1084" t="s">
        <v>6</v>
      </c>
      <c r="M5" s="1084"/>
      <c r="N5" s="1084"/>
      <c r="O5" s="1084" t="s">
        <v>6</v>
      </c>
      <c r="P5" s="1084"/>
      <c r="Q5" s="1101"/>
    </row>
    <row r="6" spans="1:17" s="769" customFormat="1">
      <c r="A6" s="1101"/>
      <c r="B6" s="1101"/>
      <c r="C6" s="1101"/>
      <c r="D6" s="1101"/>
      <c r="E6" s="1101"/>
      <c r="F6" s="1101"/>
      <c r="G6" s="1101"/>
      <c r="H6" s="1101"/>
      <c r="I6" s="1101"/>
      <c r="J6" s="1101"/>
      <c r="K6" s="1084"/>
      <c r="L6" s="772">
        <v>0.15</v>
      </c>
      <c r="M6" s="1084"/>
      <c r="N6" s="1084"/>
      <c r="O6" s="772">
        <v>0.15</v>
      </c>
      <c r="P6" s="1084"/>
      <c r="Q6" s="771">
        <f>L_CBac!K4</f>
        <v>0.1</v>
      </c>
    </row>
    <row r="7" spans="1:17" s="769" customFormat="1" ht="15" customHeight="1">
      <c r="A7" s="773" t="s">
        <v>25</v>
      </c>
      <c r="B7" s="1100" t="str">
        <f>NCong!B5</f>
        <v>Đăng ký, cấp Giấy chứng nhận lần đầu đồng loạt đối hộ gia đình, cá nhân, cộng đồng dân cư, tổ chức sử dụng đất, người gốc Việt Nam định cư ở nước ngoài tại địa bàn xã, phường, đặc khu</v>
      </c>
      <c r="C7" s="1099"/>
      <c r="D7" s="1099"/>
      <c r="E7" s="1099"/>
      <c r="F7" s="1099"/>
      <c r="G7" s="1099"/>
      <c r="H7" s="1099"/>
      <c r="I7" s="1099"/>
      <c r="J7" s="1099"/>
      <c r="K7" s="1099"/>
      <c r="L7" s="1099"/>
      <c r="M7" s="1099"/>
      <c r="N7" s="1099"/>
      <c r="O7" s="1099"/>
      <c r="P7" s="1099"/>
      <c r="Q7" s="771"/>
    </row>
    <row r="8" spans="1:17" s="769" customFormat="1" ht="12" customHeight="1">
      <c r="A8" s="773" t="s">
        <v>19</v>
      </c>
      <c r="B8" s="774" t="s">
        <v>810</v>
      </c>
      <c r="C8" s="775"/>
      <c r="D8" s="775"/>
      <c r="E8" s="775"/>
      <c r="F8" s="775"/>
      <c r="G8" s="775"/>
      <c r="H8" s="775"/>
      <c r="I8" s="775"/>
      <c r="J8" s="775"/>
      <c r="K8" s="775"/>
      <c r="L8" s="775"/>
      <c r="M8" s="775"/>
      <c r="N8" s="775"/>
      <c r="O8" s="775"/>
      <c r="P8" s="775"/>
      <c r="Q8" s="771"/>
    </row>
    <row r="9" spans="1:17" s="770" customFormat="1">
      <c r="A9" s="1083" t="s">
        <v>122</v>
      </c>
      <c r="B9" s="1085" t="s">
        <v>697</v>
      </c>
      <c r="C9" s="1084" t="s">
        <v>51</v>
      </c>
      <c r="D9" s="773">
        <v>1</v>
      </c>
      <c r="E9" s="776">
        <f>NCong!I6+NCong!I95</f>
        <v>789028.34071875003</v>
      </c>
      <c r="F9" s="776">
        <f>F54+F$57</f>
        <v>38155.082750000001</v>
      </c>
      <c r="G9" s="776">
        <f>Dcu!J27+Dcu!L27</f>
        <v>10357.982819940811</v>
      </c>
      <c r="H9" s="776">
        <f t="shared" ref="H9:J11" si="0">H54+H$57</f>
        <v>65056</v>
      </c>
      <c r="I9" s="776">
        <f t="shared" si="0"/>
        <v>8906.7829285714288</v>
      </c>
      <c r="J9" s="776">
        <f t="shared" si="0"/>
        <v>10962.4935</v>
      </c>
      <c r="K9" s="776">
        <f>SUM(E9:J9)</f>
        <v>922466.68271726219</v>
      </c>
      <c r="L9" s="776">
        <f>$L$6*K9</f>
        <v>138370.00240758932</v>
      </c>
      <c r="M9" s="776">
        <f>K9+L9</f>
        <v>1060836.6851248515</v>
      </c>
      <c r="N9" s="776">
        <f>K9-I9</f>
        <v>913559.89978869073</v>
      </c>
      <c r="O9" s="776">
        <f>$L$6*N9</f>
        <v>137033.98496830362</v>
      </c>
      <c r="P9" s="776">
        <f>N9+O9</f>
        <v>1050593.8847569944</v>
      </c>
      <c r="Q9" s="776">
        <f>Q54+Q$57</f>
        <v>23370.388461538456</v>
      </c>
    </row>
    <row r="10" spans="1:17" s="770" customFormat="1">
      <c r="A10" s="1084"/>
      <c r="B10" s="1085"/>
      <c r="C10" s="1084"/>
      <c r="D10" s="773">
        <v>2</v>
      </c>
      <c r="E10" s="776">
        <f>NCong!I8+NCong!I95</f>
        <v>845637.97621875012</v>
      </c>
      <c r="F10" s="776">
        <f>F55+F$57</f>
        <v>45718.032749999998</v>
      </c>
      <c r="G10" s="776">
        <f>Dcu!J28+Dcu!L28</f>
        <v>11415.553102878202</v>
      </c>
      <c r="H10" s="776">
        <f t="shared" si="0"/>
        <v>65056</v>
      </c>
      <c r="I10" s="776">
        <f t="shared" si="0"/>
        <v>8906.7829285714288</v>
      </c>
      <c r="J10" s="776">
        <f t="shared" si="0"/>
        <v>10962.4935</v>
      </c>
      <c r="K10" s="776">
        <f>SUM(E10:J10)</f>
        <v>987696.83850019972</v>
      </c>
      <c r="L10" s="776">
        <f>$L$6*K10</f>
        <v>148154.52577502996</v>
      </c>
      <c r="M10" s="776">
        <f>K10+L10</f>
        <v>1135851.3642752296</v>
      </c>
      <c r="N10" s="776">
        <f t="shared" ref="N10:N57" si="1">K10-I10</f>
        <v>978790.05557162827</v>
      </c>
      <c r="O10" s="776">
        <f t="shared" ref="O10:O57" si="2">$L$6*N10</f>
        <v>146818.50833574423</v>
      </c>
      <c r="P10" s="776">
        <f t="shared" ref="P10:P57" si="3">N10+O10</f>
        <v>1125608.5639073725</v>
      </c>
      <c r="Q10" s="776">
        <f t="shared" ref="Q10:Q11" si="4">Q55+Q$57</f>
        <v>25160.849999999995</v>
      </c>
    </row>
    <row r="11" spans="1:17" s="770" customFormat="1">
      <c r="A11" s="1084"/>
      <c r="B11" s="1085"/>
      <c r="C11" s="1084"/>
      <c r="D11" s="773">
        <v>3</v>
      </c>
      <c r="E11" s="776">
        <f>NCong!I10+NCong!I95</f>
        <v>912219.73321875022</v>
      </c>
      <c r="F11" s="776">
        <f>F56+F$57</f>
        <v>54793.572749999999</v>
      </c>
      <c r="G11" s="776">
        <f>Dcu!J29+Dcu!L29</f>
        <v>12473.123385815597</v>
      </c>
      <c r="H11" s="776">
        <f t="shared" si="0"/>
        <v>65056</v>
      </c>
      <c r="I11" s="776">
        <f t="shared" si="0"/>
        <v>8906.7829285714288</v>
      </c>
      <c r="J11" s="776">
        <f t="shared" si="0"/>
        <v>10962.4935</v>
      </c>
      <c r="K11" s="776">
        <f>SUM(E11:J11)</f>
        <v>1064411.7057831374</v>
      </c>
      <c r="L11" s="776">
        <f>$L$6*K11</f>
        <v>159661.75586747061</v>
      </c>
      <c r="M11" s="776">
        <f>K11+L11</f>
        <v>1224073.4616506079</v>
      </c>
      <c r="N11" s="776">
        <f t="shared" si="1"/>
        <v>1055504.922854566</v>
      </c>
      <c r="O11" s="776">
        <f t="shared" si="2"/>
        <v>158325.73842818491</v>
      </c>
      <c r="P11" s="776">
        <f t="shared" si="3"/>
        <v>1213830.661282751</v>
      </c>
      <c r="Q11" s="776">
        <f t="shared" si="4"/>
        <v>27262.696153846147</v>
      </c>
    </row>
    <row r="12" spans="1:17" s="770" customFormat="1">
      <c r="A12" s="1083" t="s">
        <v>572</v>
      </c>
      <c r="B12" s="1085" t="s">
        <v>698</v>
      </c>
      <c r="C12" s="1084" t="s">
        <v>51</v>
      </c>
      <c r="D12" s="773">
        <v>1</v>
      </c>
      <c r="E12" s="776">
        <f>E9*1.6</f>
        <v>1262445.3451500002</v>
      </c>
      <c r="F12" s="776">
        <f t="shared" ref="F12:Q14" si="5">F9*1.6</f>
        <v>61048.132400000002</v>
      </c>
      <c r="G12" s="776">
        <f t="shared" si="5"/>
        <v>16572.772511905299</v>
      </c>
      <c r="H12" s="776">
        <f>H9</f>
        <v>65056</v>
      </c>
      <c r="I12" s="776">
        <f t="shared" si="5"/>
        <v>14250.852685714286</v>
      </c>
      <c r="J12" s="776">
        <f t="shared" si="5"/>
        <v>17539.989600000001</v>
      </c>
      <c r="K12" s="776">
        <f t="shared" si="5"/>
        <v>1475946.6923476197</v>
      </c>
      <c r="L12" s="776">
        <f t="shared" si="5"/>
        <v>221392.00385214292</v>
      </c>
      <c r="M12" s="776">
        <f t="shared" si="5"/>
        <v>1697338.6961997626</v>
      </c>
      <c r="N12" s="776">
        <f t="shared" si="1"/>
        <v>1461695.8396619053</v>
      </c>
      <c r="O12" s="776">
        <f>$L$6*N12</f>
        <v>219254.37594928578</v>
      </c>
      <c r="P12" s="776">
        <f t="shared" si="3"/>
        <v>1680950.215611191</v>
      </c>
      <c r="Q12" s="776">
        <f t="shared" si="5"/>
        <v>37392.621538461528</v>
      </c>
    </row>
    <row r="13" spans="1:17" s="770" customFormat="1">
      <c r="A13" s="1084"/>
      <c r="B13" s="1085"/>
      <c r="C13" s="1084"/>
      <c r="D13" s="773">
        <v>2</v>
      </c>
      <c r="E13" s="776">
        <f t="shared" ref="E13:M14" si="6">E10*1.6</f>
        <v>1353020.7619500002</v>
      </c>
      <c r="F13" s="776">
        <f t="shared" si="6"/>
        <v>73148.852400000003</v>
      </c>
      <c r="G13" s="776">
        <f t="shared" si="6"/>
        <v>18264.884964605124</v>
      </c>
      <c r="H13" s="776">
        <f t="shared" ref="H13:H14" si="7">H10</f>
        <v>65056</v>
      </c>
      <c r="I13" s="776">
        <f t="shared" si="6"/>
        <v>14250.852685714286</v>
      </c>
      <c r="J13" s="776">
        <f t="shared" si="6"/>
        <v>17539.989600000001</v>
      </c>
      <c r="K13" s="776">
        <f t="shared" si="6"/>
        <v>1580314.9416003197</v>
      </c>
      <c r="L13" s="776">
        <f t="shared" si="6"/>
        <v>237047.24124004797</v>
      </c>
      <c r="M13" s="776">
        <f t="shared" si="6"/>
        <v>1817362.1828403675</v>
      </c>
      <c r="N13" s="776">
        <f t="shared" si="1"/>
        <v>1566064.0889146053</v>
      </c>
      <c r="O13" s="776">
        <f t="shared" si="2"/>
        <v>234909.61333719079</v>
      </c>
      <c r="P13" s="776">
        <f t="shared" si="3"/>
        <v>1800973.7022517961</v>
      </c>
      <c r="Q13" s="776">
        <f t="shared" si="5"/>
        <v>40257.359999999993</v>
      </c>
    </row>
    <row r="14" spans="1:17" s="770" customFormat="1">
      <c r="A14" s="1084"/>
      <c r="B14" s="1085"/>
      <c r="C14" s="1084"/>
      <c r="D14" s="773">
        <v>3</v>
      </c>
      <c r="E14" s="776">
        <f t="shared" si="6"/>
        <v>1459551.5731500005</v>
      </c>
      <c r="F14" s="776">
        <f t="shared" si="6"/>
        <v>87669.716400000005</v>
      </c>
      <c r="G14" s="776">
        <f t="shared" si="6"/>
        <v>19956.997417304956</v>
      </c>
      <c r="H14" s="776">
        <f t="shared" si="7"/>
        <v>65056</v>
      </c>
      <c r="I14" s="776">
        <f t="shared" si="6"/>
        <v>14250.852685714286</v>
      </c>
      <c r="J14" s="776">
        <f t="shared" si="6"/>
        <v>17539.989600000001</v>
      </c>
      <c r="K14" s="776">
        <f t="shared" si="6"/>
        <v>1703058.7292530199</v>
      </c>
      <c r="L14" s="776">
        <f t="shared" si="6"/>
        <v>255458.80938795299</v>
      </c>
      <c r="M14" s="776">
        <f t="shared" si="6"/>
        <v>1958517.5386409727</v>
      </c>
      <c r="N14" s="776">
        <f t="shared" si="1"/>
        <v>1688807.8765673055</v>
      </c>
      <c r="O14" s="776">
        <f t="shared" si="2"/>
        <v>253321.18148509582</v>
      </c>
      <c r="P14" s="776">
        <f t="shared" si="3"/>
        <v>1942129.0580524013</v>
      </c>
      <c r="Q14" s="776">
        <f t="shared" si="5"/>
        <v>43620.31384615384</v>
      </c>
    </row>
    <row r="15" spans="1:17" s="770" customFormat="1">
      <c r="A15" s="1083" t="s">
        <v>123</v>
      </c>
      <c r="B15" s="1085" t="s">
        <v>699</v>
      </c>
      <c r="C15" s="1084" t="s">
        <v>51</v>
      </c>
      <c r="D15" s="773">
        <v>1</v>
      </c>
      <c r="E15" s="776">
        <f>0.3*(NCong!I40+NCong!I41+NCong!I44+NCong!I45+NCong!I47+NCong!I49+NCong!I62+NCong!I65+NCong!I66+NCong!I69+NCong!I71+NCong!I72+NCong!I74+NCong!I78+NCong!I79+NCong!I80+NCong!I85+NCong!I89+NCong!I90+NCong!I91+NCong!I94+NCong!I96+NCong!I99)</f>
        <v>202013.306735625</v>
      </c>
      <c r="F15" s="776">
        <f>0.3*NCong!I50</f>
        <v>11344.424999999999</v>
      </c>
      <c r="G15" s="776">
        <f>Dcu!J37+Dcu!L37</f>
        <v>2149.8877932051287</v>
      </c>
      <c r="H15" s="776">
        <f>H9*0.5</f>
        <v>32528</v>
      </c>
      <c r="I15" s="776">
        <f>I9*0.5</f>
        <v>4453.3914642857144</v>
      </c>
      <c r="J15" s="776">
        <f>J9*0.5</f>
        <v>5481.2467500000002</v>
      </c>
      <c r="K15" s="776">
        <f>SUM(E15:J15)</f>
        <v>257970.25774311583</v>
      </c>
      <c r="L15" s="776">
        <f>$L$6*K15</f>
        <v>38695.53866146737</v>
      </c>
      <c r="M15" s="776">
        <f>K15+L15</f>
        <v>296665.79640458321</v>
      </c>
      <c r="N15" s="776">
        <f t="shared" si="1"/>
        <v>253516.8662788301</v>
      </c>
      <c r="O15" s="776">
        <f t="shared" si="2"/>
        <v>38027.529941824512</v>
      </c>
      <c r="P15" s="776">
        <f t="shared" si="3"/>
        <v>291544.3962206546</v>
      </c>
      <c r="Q15" s="776">
        <f>0.3*(NCong!J40+NCong!J41+NCong!J44+NCong!J45+NCong!J47+NCong!J49+NCong!J62+NCong!J65+NCong!J66+NCong!J69+NCong!J71+NCong!J72+NCong!J74+NCong!J78+NCong!J79+NCong!J80+NCong!J85+NCong!J89+NCong!J90+NCong!J91+NCong!J94+NCong!J96+NCong!J99)</f>
        <v>5986.1746153846152</v>
      </c>
    </row>
    <row r="16" spans="1:17" s="770" customFormat="1">
      <c r="A16" s="1084"/>
      <c r="B16" s="1085"/>
      <c r="C16" s="1084"/>
      <c r="D16" s="773">
        <v>2</v>
      </c>
      <c r="E16" s="776">
        <f>0.3*(NCong!I40+NCong!I41+NCong!I44+NCong!I45+NCong!I47+NCong!I51+NCong!I62+NCong!I65+NCong!I66+NCong!I69+NCong!I71+NCong!I72+NCong!I74+NCong!I78+NCong!I79+NCong!I80+NCong!I85+NCong!I89+NCong!I90+NCong!I91+NCong!I94+NCong!I96+NCong!I99)</f>
        <v>218658.74598562499</v>
      </c>
      <c r="F16" s="776">
        <f>0.3*NCong!I52</f>
        <v>13613.31</v>
      </c>
      <c r="G16" s="776">
        <f>Dcu!J38+Dcu!L38</f>
        <v>2360.7692055555558</v>
      </c>
      <c r="H16" s="776">
        <f t="shared" ref="H16:J17" si="8">H10*0.5</f>
        <v>32528</v>
      </c>
      <c r="I16" s="776">
        <f t="shared" si="8"/>
        <v>4453.3914642857144</v>
      </c>
      <c r="J16" s="776">
        <f t="shared" si="8"/>
        <v>5481.2467500000002</v>
      </c>
      <c r="K16" s="776">
        <f t="shared" ref="K16:K17" si="9">SUM(E16:J16)</f>
        <v>277095.46340546629</v>
      </c>
      <c r="L16" s="776">
        <f t="shared" ref="L16:L17" si="10">$L$6*K16</f>
        <v>41564.319510819943</v>
      </c>
      <c r="M16" s="776">
        <f t="shared" ref="M16:M17" si="11">K16+L16</f>
        <v>318659.78291628626</v>
      </c>
      <c r="N16" s="776">
        <f t="shared" si="1"/>
        <v>272642.07194118056</v>
      </c>
      <c r="O16" s="776">
        <f t="shared" si="2"/>
        <v>40896.310791177086</v>
      </c>
      <c r="P16" s="776">
        <f t="shared" si="3"/>
        <v>313538.38273235766</v>
      </c>
      <c r="Q16" s="776">
        <f>0.3*(NCong!J40+NCong!J41+NCong!J44+NCong!J45+NCong!J47+NCong!J51+NCong!J62+NCong!J65+NCong!J66+NCong!J69+NCong!J71+NCong!J72+NCong!J74+NCong!J78+NCong!J79+NCong!J80+NCong!J85+NCong!J89+NCong!J90+NCong!J91+NCong!J94+NCong!J96+NCong!J99)</f>
        <v>6511.6361538461524</v>
      </c>
    </row>
    <row r="17" spans="1:17" s="770" customFormat="1">
      <c r="A17" s="1084"/>
      <c r="B17" s="1085"/>
      <c r="C17" s="1084"/>
      <c r="D17" s="773">
        <v>3</v>
      </c>
      <c r="E17" s="776">
        <f>0.3*(NCong!I40+NCong!I41+NCong!I44+NCong!I45+NCong!I47+NCong!I53+NCong!I62+NCong!I65+NCong!I66+NCong!I69+NCong!I71+NCong!I72+NCong!I74+NCong!I78+NCong!I79+NCong!I80+NCong!I85+NCong!I89+NCong!I90+NCong!I91+NCong!I94+NCong!I96+NCong!I99)</f>
        <v>238633.273085625</v>
      </c>
      <c r="F17" s="776">
        <f>0.3*NCong!I54</f>
        <v>16335.971999999998</v>
      </c>
      <c r="G17" s="776">
        <f>Dcu!J39+Dcu!L39</f>
        <v>2571.6506179059834</v>
      </c>
      <c r="H17" s="776">
        <f t="shared" si="8"/>
        <v>32528</v>
      </c>
      <c r="I17" s="776">
        <f t="shared" si="8"/>
        <v>4453.3914642857144</v>
      </c>
      <c r="J17" s="776">
        <f t="shared" si="8"/>
        <v>5481.2467500000002</v>
      </c>
      <c r="K17" s="776">
        <f t="shared" si="9"/>
        <v>300003.53391781671</v>
      </c>
      <c r="L17" s="776">
        <f t="shared" si="10"/>
        <v>45000.530087672501</v>
      </c>
      <c r="M17" s="776">
        <f t="shared" si="11"/>
        <v>345004.06400548923</v>
      </c>
      <c r="N17" s="776">
        <f t="shared" si="1"/>
        <v>295550.14245353098</v>
      </c>
      <c r="O17" s="776">
        <f t="shared" si="2"/>
        <v>44332.521368029644</v>
      </c>
      <c r="P17" s="776">
        <f t="shared" si="3"/>
        <v>339882.66382156062</v>
      </c>
      <c r="Q17" s="776">
        <f>0.3*(NCong!J40+NCong!J41+NCong!J44+NCong!J45+NCong!J47+NCong!J53+NCong!J62+NCong!J65+NCong!J66+NCong!J69+NCong!J71+NCong!J72+NCong!J74+NCong!J78+NCong!J79+NCong!J80+NCong!J85+NCong!J89+NCong!J90+NCong!J91+NCong!J94+NCong!J96+NCong!J99)</f>
        <v>7142.19</v>
      </c>
    </row>
    <row r="18" spans="1:17" s="770" customFormat="1">
      <c r="A18" s="1083" t="s">
        <v>703</v>
      </c>
      <c r="B18" s="1085" t="s">
        <v>702</v>
      </c>
      <c r="C18" s="1084" t="s">
        <v>51</v>
      </c>
      <c r="D18" s="773">
        <v>1</v>
      </c>
      <c r="E18" s="776">
        <f>(NCong!I30+NCong!I40+NCong!I41+NCong!I44+NCong!I45+NCong!I47+NCong!I49+NCong!I62+NCong!I65+NCong!I69+NCong!I72+NCong!I96+NCong!I99+NCong!I102)</f>
        <v>483543.25036874996</v>
      </c>
      <c r="F18" s="776">
        <f>F9</f>
        <v>38155.082750000001</v>
      </c>
      <c r="G18" s="776">
        <f>Dcu!J31+Dcu!L31</f>
        <v>5164.7569146367523</v>
      </c>
      <c r="H18" s="776">
        <f>H9*0.5</f>
        <v>32528</v>
      </c>
      <c r="I18" s="776">
        <f>Tbi!I28+Tbi!I29</f>
        <v>4453.3914642857144</v>
      </c>
      <c r="J18" s="776">
        <f>J9*0.5</f>
        <v>5481.2467500000002</v>
      </c>
      <c r="K18" s="776">
        <f>SUM(E18:J18)</f>
        <v>569325.72824767244</v>
      </c>
      <c r="L18" s="776">
        <f>$L$6*K18</f>
        <v>85398.859237150857</v>
      </c>
      <c r="M18" s="776">
        <f>K18+L18</f>
        <v>654724.58748482331</v>
      </c>
      <c r="N18" s="776">
        <f t="shared" si="1"/>
        <v>564872.33678338677</v>
      </c>
      <c r="O18" s="776">
        <f t="shared" si="2"/>
        <v>84730.850517508006</v>
      </c>
      <c r="P18" s="776">
        <f t="shared" si="3"/>
        <v>649603.18730089476</v>
      </c>
      <c r="Q18" s="776">
        <f>(NCong!J30+NCong!J40+NCong!J41+NCong!J44+NCong!J45+NCong!J47+NCong!J49+NCong!J62+NCong!J65+NCong!J69+NCong!J72+NCong!J96+NCong!J99+NCong!J102)</f>
        <v>14782.01153846154</v>
      </c>
    </row>
    <row r="19" spans="1:17" s="770" customFormat="1">
      <c r="A19" s="1084"/>
      <c r="B19" s="1085"/>
      <c r="C19" s="1084"/>
      <c r="D19" s="773">
        <v>2</v>
      </c>
      <c r="E19" s="776">
        <f>(NCong!I30+NCong!I40+NCong!I41+NCong!I44+NCong!I45+NCong!I47+NCong!I51+NCong!I62+NCong!I65+NCong!I69+NCong!I72+NCong!I96+NCong!I99+NCong!I102)</f>
        <v>539028.04786875017</v>
      </c>
      <c r="F19" s="776">
        <f t="shared" ref="F19:F20" si="12">F10</f>
        <v>45718.032749999998</v>
      </c>
      <c r="G19" s="776">
        <f>Dcu!J32+Dcu!L32</f>
        <v>5691.9604455128201</v>
      </c>
      <c r="H19" s="776">
        <f t="shared" ref="H19:H20" si="13">H10*0.5</f>
        <v>32528</v>
      </c>
      <c r="I19" s="776">
        <f>Tbi!I28+Tbi!I29</f>
        <v>4453.3914642857144</v>
      </c>
      <c r="J19" s="776">
        <f t="shared" ref="J19:J20" si="14">J10*0.5</f>
        <v>5481.2467500000002</v>
      </c>
      <c r="K19" s="776">
        <f t="shared" ref="K19:K20" si="15">SUM(E19:J19)</f>
        <v>632900.67927854869</v>
      </c>
      <c r="L19" s="776">
        <f t="shared" ref="L19:L20" si="16">$L$6*K19</f>
        <v>94935.101891782295</v>
      </c>
      <c r="M19" s="776">
        <f t="shared" ref="M19:M20" si="17">K19+L19</f>
        <v>727835.78117033094</v>
      </c>
      <c r="N19" s="776">
        <f t="shared" si="1"/>
        <v>628447.28781426302</v>
      </c>
      <c r="O19" s="776">
        <f t="shared" si="2"/>
        <v>94267.093172139445</v>
      </c>
      <c r="P19" s="776">
        <f t="shared" si="3"/>
        <v>722714.38098640251</v>
      </c>
      <c r="Q19" s="776">
        <f>(NCong!J30+NCong!J40+NCong!J41+NCong!J44+NCong!J45+NCong!J47+NCong!J51+NCong!J62+NCong!J65+NCong!J69+NCong!J72+NCong!J96+NCong!J99+NCong!J102)</f>
        <v>16533.55</v>
      </c>
    </row>
    <row r="20" spans="1:17" s="770" customFormat="1">
      <c r="A20" s="1084"/>
      <c r="B20" s="1085"/>
      <c r="C20" s="1084"/>
      <c r="D20" s="773">
        <v>3</v>
      </c>
      <c r="E20" s="776">
        <f>(NCong!I30+NCong!I40+NCong!I41+NCong!I44+NCong!I45+NCong!I47+NCong!I53+NCong!I62+NCong!I65+NCong!I69+NCong!I72+NCong!I96+NCong!I99+NCong!I102)</f>
        <v>605609.80486875004</v>
      </c>
      <c r="F20" s="776">
        <f t="shared" si="12"/>
        <v>54793.572749999999</v>
      </c>
      <c r="G20" s="776">
        <f>Dcu!J33+Dcu!L33</f>
        <v>6219.1639763888888</v>
      </c>
      <c r="H20" s="776">
        <f t="shared" si="13"/>
        <v>32528</v>
      </c>
      <c r="I20" s="776">
        <f>Tbi!I28+Tbi!I29</f>
        <v>4453.3914642857144</v>
      </c>
      <c r="J20" s="776">
        <f t="shared" si="14"/>
        <v>5481.2467500000002</v>
      </c>
      <c r="K20" s="776">
        <f t="shared" si="15"/>
        <v>709085.17980942468</v>
      </c>
      <c r="L20" s="776">
        <f t="shared" si="16"/>
        <v>106362.7769714137</v>
      </c>
      <c r="M20" s="776">
        <f t="shared" si="17"/>
        <v>815447.95678083831</v>
      </c>
      <c r="N20" s="776">
        <f t="shared" si="1"/>
        <v>704631.78834513901</v>
      </c>
      <c r="O20" s="776">
        <f t="shared" si="2"/>
        <v>105694.76825177085</v>
      </c>
      <c r="P20" s="776">
        <f t="shared" si="3"/>
        <v>810326.55659690988</v>
      </c>
      <c r="Q20" s="776">
        <f>(NCong!J30+NCong!J40+NCong!J41+NCong!J44+NCong!J45+NCong!J47+NCong!J53+NCong!J62+NCong!J65+NCong!J69+NCong!J72+NCong!J96+NCong!J99+NCong!J102)</f>
        <v>18635.396153846155</v>
      </c>
    </row>
    <row r="21" spans="1:17" s="770" customFormat="1">
      <c r="A21" s="1083" t="s">
        <v>705</v>
      </c>
      <c r="B21" s="1085" t="s">
        <v>704</v>
      </c>
      <c r="C21" s="1084" t="s">
        <v>51</v>
      </c>
      <c r="D21" s="773">
        <v>1</v>
      </c>
      <c r="E21" s="776">
        <f>NCong!I40+NCong!I49+NCong!I66+NCong!I74+NCong!I78+NCong!I79+NCong!I80+NCong!I85+NCong!I89+NCong!I90+NCong!I91+NCong!I94+NCong!I95</f>
        <v>577364.83426875004</v>
      </c>
      <c r="F21" s="776">
        <f>F18</f>
        <v>38155.082750000001</v>
      </c>
      <c r="G21" s="776">
        <f>G9*0.9</f>
        <v>9322.1845379467304</v>
      </c>
      <c r="H21" s="776">
        <f t="shared" ref="H21:J21" si="18">H9*0.9</f>
        <v>58550.400000000001</v>
      </c>
      <c r="I21" s="776">
        <f t="shared" si="18"/>
        <v>8016.1046357142859</v>
      </c>
      <c r="J21" s="776">
        <f t="shared" si="18"/>
        <v>9866.2441500000004</v>
      </c>
      <c r="K21" s="776">
        <f>SUM(E21:J21)</f>
        <v>701274.85034241108</v>
      </c>
      <c r="L21" s="776">
        <f>$L$6*K21</f>
        <v>105191.22755136166</v>
      </c>
      <c r="M21" s="776">
        <f>K21+L21</f>
        <v>806466.07789377274</v>
      </c>
      <c r="N21" s="776">
        <f t="shared" si="1"/>
        <v>693258.74570669676</v>
      </c>
      <c r="O21" s="776">
        <f t="shared" si="2"/>
        <v>103988.81185600451</v>
      </c>
      <c r="P21" s="776">
        <f t="shared" si="3"/>
        <v>797247.55756270129</v>
      </c>
      <c r="Q21" s="776">
        <f>NCong!J40+NCong!J49+NCong!J66+NCong!J74+NCong!J78+NCong!J79+NCong!J80+NCong!J85+NCong!J89+NCong!J90+NCong!J91+NCong!J94+NCong!J95</f>
        <v>17108.63846153846</v>
      </c>
    </row>
    <row r="22" spans="1:17" s="770" customFormat="1">
      <c r="A22" s="1084"/>
      <c r="B22" s="1085"/>
      <c r="C22" s="1084"/>
      <c r="D22" s="773">
        <v>2</v>
      </c>
      <c r="E22" s="776">
        <f>NCong!I40+NCong!I51+NCong!I66+NCong!I74+NCong!I78+NCong!I79+NCong!I80+NCong!I85+NCong!I89+NCong!I90+NCong!I91+NCong!I94+NCong!I95</f>
        <v>632849.63176875003</v>
      </c>
      <c r="F22" s="776">
        <f t="shared" ref="F22:F23" si="19">F19</f>
        <v>45718.032749999998</v>
      </c>
      <c r="G22" s="776">
        <f t="shared" ref="G22:J23" si="20">G10*0.9</f>
        <v>10273.997792590382</v>
      </c>
      <c r="H22" s="776">
        <f t="shared" si="20"/>
        <v>58550.400000000001</v>
      </c>
      <c r="I22" s="776">
        <f t="shared" si="20"/>
        <v>8016.1046357142859</v>
      </c>
      <c r="J22" s="776">
        <f t="shared" si="20"/>
        <v>9866.2441500000004</v>
      </c>
      <c r="K22" s="776">
        <f t="shared" ref="K22:K23" si="21">SUM(E22:J22)</f>
        <v>765274.41109705484</v>
      </c>
      <c r="L22" s="776">
        <f t="shared" ref="L22:L23" si="22">$L$6*K22</f>
        <v>114791.16166455823</v>
      </c>
      <c r="M22" s="776">
        <f t="shared" ref="M22:M23" si="23">K22+L22</f>
        <v>880065.57276161306</v>
      </c>
      <c r="N22" s="776">
        <f t="shared" si="1"/>
        <v>757258.30646134051</v>
      </c>
      <c r="O22" s="776">
        <f t="shared" si="2"/>
        <v>113588.74596920107</v>
      </c>
      <c r="P22" s="776">
        <f t="shared" si="3"/>
        <v>870847.0524305416</v>
      </c>
      <c r="Q22" s="776">
        <f>NCong!J40+NCong!J51+NCong!J66+NCong!J74+NCong!J78+NCong!J79+NCong!J80+NCong!J85+NCong!J89+NCong!J90+NCong!J91+NCong!J94+NCong!J95</f>
        <v>18860.176923076917</v>
      </c>
    </row>
    <row r="23" spans="1:17" s="770" customFormat="1">
      <c r="A23" s="1084"/>
      <c r="B23" s="1085"/>
      <c r="C23" s="1084"/>
      <c r="D23" s="773">
        <v>3</v>
      </c>
      <c r="E23" s="776">
        <f>NCong!I40+NCong!I53+NCong!I66+NCong!I74+NCong!I78+NCong!I79+NCong!I80+NCong!I85+NCong!I89+NCong!I90+NCong!I91+NCong!I94+NCong!I95</f>
        <v>699431.38876875013</v>
      </c>
      <c r="F23" s="776">
        <f t="shared" si="19"/>
        <v>54793.572749999999</v>
      </c>
      <c r="G23" s="776">
        <f t="shared" si="20"/>
        <v>11225.811047234038</v>
      </c>
      <c r="H23" s="776">
        <f t="shared" si="20"/>
        <v>58550.400000000001</v>
      </c>
      <c r="I23" s="776">
        <f t="shared" si="20"/>
        <v>8016.1046357142859</v>
      </c>
      <c r="J23" s="776">
        <f t="shared" si="20"/>
        <v>9866.2441500000004</v>
      </c>
      <c r="K23" s="776">
        <f t="shared" si="21"/>
        <v>841883.52135169855</v>
      </c>
      <c r="L23" s="776">
        <f t="shared" si="22"/>
        <v>126282.52820275478</v>
      </c>
      <c r="M23" s="776">
        <f t="shared" si="23"/>
        <v>968166.04955445335</v>
      </c>
      <c r="N23" s="776">
        <f t="shared" si="1"/>
        <v>833867.41671598423</v>
      </c>
      <c r="O23" s="776">
        <f t="shared" si="2"/>
        <v>125080.11250739763</v>
      </c>
      <c r="P23" s="776">
        <f t="shared" si="3"/>
        <v>958947.52922338189</v>
      </c>
      <c r="Q23" s="776">
        <f>NCong!J40+NCong!J53+NCong!J66+NCong!J74+NCong!J78+NCong!J79+NCong!J80+NCong!J85+NCong!J89+NCong!J90+NCong!J91+NCong!J94+NCong!J95</f>
        <v>20962.023076923077</v>
      </c>
    </row>
    <row r="24" spans="1:17" s="770" customFormat="1" ht="15.75" customHeight="1">
      <c r="A24" s="773" t="s">
        <v>21</v>
      </c>
      <c r="B24" s="834" t="s">
        <v>811</v>
      </c>
      <c r="C24" s="771"/>
      <c r="D24" s="773"/>
      <c r="E24" s="776"/>
      <c r="F24" s="776"/>
      <c r="G24" s="776"/>
      <c r="H24" s="776"/>
      <c r="I24" s="776"/>
      <c r="J24" s="776"/>
      <c r="K24" s="776"/>
      <c r="L24" s="776"/>
      <c r="M24" s="776"/>
      <c r="N24" s="776"/>
      <c r="O24" s="776"/>
      <c r="P24" s="776"/>
      <c r="Q24" s="776"/>
    </row>
    <row r="25" spans="1:17" s="770" customFormat="1">
      <c r="A25" s="1095" t="s">
        <v>122</v>
      </c>
      <c r="B25" s="1096" t="s">
        <v>697</v>
      </c>
      <c r="C25" s="1091" t="s">
        <v>51</v>
      </c>
      <c r="D25" s="822">
        <v>1</v>
      </c>
      <c r="E25" s="824">
        <f>NCong!I12+NCong!I95</f>
        <v>716923.34071875003</v>
      </c>
      <c r="F25" s="824">
        <f>F9</f>
        <v>38155.082750000001</v>
      </c>
      <c r="G25" s="824">
        <f>Dcu!J20+Dcu!L20</f>
        <v>10329.513829273505</v>
      </c>
      <c r="H25" s="824">
        <f>H9</f>
        <v>65056</v>
      </c>
      <c r="I25" s="824">
        <f t="shared" ref="I25:J25" si="24">I9</f>
        <v>8906.7829285714288</v>
      </c>
      <c r="J25" s="824">
        <f t="shared" si="24"/>
        <v>10962.4935</v>
      </c>
      <c r="K25" s="824">
        <f>SUM(E25:J25)</f>
        <v>850333.21372659493</v>
      </c>
      <c r="L25" s="824">
        <f>$L$6*K25</f>
        <v>127549.98205898923</v>
      </c>
      <c r="M25" s="824">
        <f>K25+L25</f>
        <v>977883.19578558416</v>
      </c>
      <c r="N25" s="824">
        <f>K25-I25</f>
        <v>841426.43079802347</v>
      </c>
      <c r="O25" s="824">
        <f>$L$6*N25</f>
        <v>126213.96461970352</v>
      </c>
      <c r="P25" s="824">
        <f>N25+O25</f>
        <v>967640.39541772695</v>
      </c>
      <c r="Q25" s="824">
        <f>NCong!J12+NCong!J95</f>
        <v>21424.234615384608</v>
      </c>
    </row>
    <row r="26" spans="1:17" s="770" customFormat="1">
      <c r="A26" s="1091"/>
      <c r="B26" s="1096"/>
      <c r="C26" s="1091"/>
      <c r="D26" s="822">
        <v>2</v>
      </c>
      <c r="E26" s="824">
        <f>NCong!I14+NCong!I95</f>
        <v>773532.97621875012</v>
      </c>
      <c r="F26" s="824">
        <f t="shared" ref="F26:F27" si="25">F10</f>
        <v>45718.032749999998</v>
      </c>
      <c r="G26" s="824">
        <f>Dcu!J21+Dcu!L21</f>
        <v>11383.92089102564</v>
      </c>
      <c r="H26" s="824">
        <f t="shared" ref="H26:J27" si="26">H10</f>
        <v>65056</v>
      </c>
      <c r="I26" s="824">
        <f t="shared" si="26"/>
        <v>8906.7829285714288</v>
      </c>
      <c r="J26" s="824">
        <f t="shared" si="26"/>
        <v>10962.4935</v>
      </c>
      <c r="K26" s="824">
        <f t="shared" ref="K26:K39" si="27">SUM(E26:J26)</f>
        <v>915560.20628834725</v>
      </c>
      <c r="L26" s="824">
        <f t="shared" ref="L26:L39" si="28">$L$6*K26</f>
        <v>137334.03094325209</v>
      </c>
      <c r="M26" s="824">
        <f t="shared" ref="M26:M39" si="29">K26+L26</f>
        <v>1052894.2372315994</v>
      </c>
      <c r="N26" s="824">
        <f t="shared" ref="N26:N39" si="30">K26-I26</f>
        <v>906653.4233597758</v>
      </c>
      <c r="O26" s="824">
        <f t="shared" ref="O26:O39" si="31">$L$6*N26</f>
        <v>135998.01350396636</v>
      </c>
      <c r="P26" s="824">
        <f t="shared" ref="P26:P39" si="32">N26+O26</f>
        <v>1042651.4368637422</v>
      </c>
      <c r="Q26" s="824">
        <f>NCong!J14+NCong!J95</f>
        <v>23214.696153846147</v>
      </c>
    </row>
    <row r="27" spans="1:17" s="770" customFormat="1">
      <c r="A27" s="1091"/>
      <c r="B27" s="1096"/>
      <c r="C27" s="1091"/>
      <c r="D27" s="822">
        <v>3</v>
      </c>
      <c r="E27" s="824">
        <f>NCong!I16+NCong!I95</f>
        <v>840114.73321875022</v>
      </c>
      <c r="F27" s="824">
        <f t="shared" si="25"/>
        <v>54793.572749999999</v>
      </c>
      <c r="G27" s="824">
        <f>Dcu!J22+Dcu!L22</f>
        <v>12438.327952777778</v>
      </c>
      <c r="H27" s="824">
        <f t="shared" si="26"/>
        <v>65056</v>
      </c>
      <c r="I27" s="824">
        <f t="shared" si="26"/>
        <v>8906.7829285714288</v>
      </c>
      <c r="J27" s="824">
        <f t="shared" si="26"/>
        <v>10962.4935</v>
      </c>
      <c r="K27" s="824">
        <f t="shared" si="27"/>
        <v>992271.91035009944</v>
      </c>
      <c r="L27" s="824">
        <f t="shared" si="28"/>
        <v>148840.78655251491</v>
      </c>
      <c r="M27" s="824">
        <f t="shared" si="29"/>
        <v>1141112.6969026143</v>
      </c>
      <c r="N27" s="824">
        <f t="shared" si="30"/>
        <v>983365.12742152798</v>
      </c>
      <c r="O27" s="824">
        <f t="shared" si="31"/>
        <v>147504.76911322918</v>
      </c>
      <c r="P27" s="824">
        <f t="shared" si="32"/>
        <v>1130869.8965347572</v>
      </c>
      <c r="Q27" s="824">
        <f>NCong!J16+NCong!J95</f>
        <v>25316.5423076923</v>
      </c>
    </row>
    <row r="28" spans="1:17" s="770" customFormat="1">
      <c r="A28" s="1095" t="s">
        <v>572</v>
      </c>
      <c r="B28" s="1096" t="s">
        <v>698</v>
      </c>
      <c r="C28" s="1091" t="s">
        <v>51</v>
      </c>
      <c r="D28" s="822">
        <v>1</v>
      </c>
      <c r="E28" s="824">
        <f>E25*1.6</f>
        <v>1147077.3451500002</v>
      </c>
      <c r="F28" s="824">
        <f>F25*1.6</f>
        <v>61048.132400000002</v>
      </c>
      <c r="G28" s="824">
        <f>G25*1.6</f>
        <v>16527.222126837609</v>
      </c>
      <c r="H28" s="824">
        <f>H25</f>
        <v>65056</v>
      </c>
      <c r="I28" s="824">
        <f>I25*1.6</f>
        <v>14250.852685714286</v>
      </c>
      <c r="J28" s="824">
        <f>J25*1.6</f>
        <v>17539.989600000001</v>
      </c>
      <c r="K28" s="824">
        <f t="shared" si="27"/>
        <v>1321499.5419625521</v>
      </c>
      <c r="L28" s="824">
        <f t="shared" si="28"/>
        <v>198224.93129438281</v>
      </c>
      <c r="M28" s="824">
        <f t="shared" si="29"/>
        <v>1519724.4732569349</v>
      </c>
      <c r="N28" s="824">
        <f t="shared" si="30"/>
        <v>1307248.6892768377</v>
      </c>
      <c r="O28" s="824">
        <f t="shared" si="31"/>
        <v>196087.30339152567</v>
      </c>
      <c r="P28" s="824">
        <f t="shared" si="32"/>
        <v>1503335.9926683635</v>
      </c>
      <c r="Q28" s="824">
        <f>Q25*1.6</f>
        <v>34278.775384615372</v>
      </c>
    </row>
    <row r="29" spans="1:17" s="770" customFormat="1">
      <c r="A29" s="1091"/>
      <c r="B29" s="1096"/>
      <c r="C29" s="1091"/>
      <c r="D29" s="822">
        <v>2</v>
      </c>
      <c r="E29" s="824">
        <f t="shared" ref="E29:G30" si="33">E26*1.6</f>
        <v>1237652.7619500002</v>
      </c>
      <c r="F29" s="824">
        <f t="shared" si="33"/>
        <v>73148.852400000003</v>
      </c>
      <c r="G29" s="824">
        <f t="shared" si="33"/>
        <v>18214.273425641026</v>
      </c>
      <c r="H29" s="824">
        <f t="shared" ref="H29:H30" si="34">H26</f>
        <v>65056</v>
      </c>
      <c r="I29" s="824">
        <f t="shared" ref="I29:J30" si="35">I26*1.6</f>
        <v>14250.852685714286</v>
      </c>
      <c r="J29" s="824">
        <f t="shared" si="35"/>
        <v>17539.989600000001</v>
      </c>
      <c r="K29" s="824">
        <f t="shared" si="27"/>
        <v>1425862.7300613555</v>
      </c>
      <c r="L29" s="824">
        <f t="shared" si="28"/>
        <v>213879.40950920331</v>
      </c>
      <c r="M29" s="824">
        <f t="shared" si="29"/>
        <v>1639742.1395705589</v>
      </c>
      <c r="N29" s="824">
        <f t="shared" si="30"/>
        <v>1411611.8773756411</v>
      </c>
      <c r="O29" s="824">
        <f t="shared" si="31"/>
        <v>211741.78160634617</v>
      </c>
      <c r="P29" s="824">
        <f t="shared" si="32"/>
        <v>1623353.6589819873</v>
      </c>
      <c r="Q29" s="824">
        <f t="shared" ref="Q29:Q30" si="36">Q26*1.6</f>
        <v>37143.513846153837</v>
      </c>
    </row>
    <row r="30" spans="1:17" s="770" customFormat="1">
      <c r="A30" s="1091"/>
      <c r="B30" s="1096"/>
      <c r="C30" s="1091"/>
      <c r="D30" s="822">
        <v>3</v>
      </c>
      <c r="E30" s="824">
        <f t="shared" si="33"/>
        <v>1344183.5731500005</v>
      </c>
      <c r="F30" s="824">
        <f t="shared" si="33"/>
        <v>87669.716400000005</v>
      </c>
      <c r="G30" s="824">
        <f t="shared" si="33"/>
        <v>19901.324724444446</v>
      </c>
      <c r="H30" s="824">
        <f t="shared" si="34"/>
        <v>65056</v>
      </c>
      <c r="I30" s="824">
        <f t="shared" si="35"/>
        <v>14250.852685714286</v>
      </c>
      <c r="J30" s="824">
        <f t="shared" si="35"/>
        <v>17539.989600000001</v>
      </c>
      <c r="K30" s="824">
        <f t="shared" si="27"/>
        <v>1548601.4565601593</v>
      </c>
      <c r="L30" s="824">
        <f t="shared" si="28"/>
        <v>232290.21848402391</v>
      </c>
      <c r="M30" s="824">
        <f t="shared" si="29"/>
        <v>1780891.6750441832</v>
      </c>
      <c r="N30" s="824">
        <f t="shared" si="30"/>
        <v>1534350.603874445</v>
      </c>
      <c r="O30" s="824">
        <f t="shared" si="31"/>
        <v>230152.59058116673</v>
      </c>
      <c r="P30" s="824">
        <f t="shared" si="32"/>
        <v>1764503.1944556118</v>
      </c>
      <c r="Q30" s="824">
        <f t="shared" si="36"/>
        <v>40506.467692307684</v>
      </c>
    </row>
    <row r="31" spans="1:17" s="825" customFormat="1">
      <c r="A31" s="1095" t="s">
        <v>123</v>
      </c>
      <c r="B31" s="1096" t="s">
        <v>699</v>
      </c>
      <c r="C31" s="1091" t="s">
        <v>51</v>
      </c>
      <c r="D31" s="822">
        <v>1</v>
      </c>
      <c r="E31" s="824">
        <f>0.3*(NCong!I40+NCong!I41+NCong!I44+NCong!I45+NCong!I47+NCong!I49+NCong!I62+NCong!I65+NCong!I66+NCong!I69+NCong!I71+NCong!I72+NCong!I74+NCong!I78+NCong!I79+NCong!I85+NCong!I89+NCong!I90+NCong!I91+NCong!I94+NCong!I96+NCong!I99)</f>
        <v>180381.806735625</v>
      </c>
      <c r="F31" s="824">
        <f>F15</f>
        <v>11344.424999999999</v>
      </c>
      <c r="G31" s="824">
        <f t="shared" ref="G31:J31" si="37">G15</f>
        <v>2149.8877932051287</v>
      </c>
      <c r="H31" s="824">
        <f t="shared" si="37"/>
        <v>32528</v>
      </c>
      <c r="I31" s="824">
        <f t="shared" si="37"/>
        <v>4453.3914642857144</v>
      </c>
      <c r="J31" s="824">
        <f t="shared" si="37"/>
        <v>5481.2467500000002</v>
      </c>
      <c r="K31" s="824">
        <f t="shared" si="27"/>
        <v>236338.75774311583</v>
      </c>
      <c r="L31" s="824">
        <f t="shared" si="28"/>
        <v>35450.813661467371</v>
      </c>
      <c r="M31" s="824">
        <f t="shared" si="29"/>
        <v>271789.57140458317</v>
      </c>
      <c r="N31" s="824">
        <f t="shared" si="30"/>
        <v>231885.3662788301</v>
      </c>
      <c r="O31" s="824">
        <f t="shared" si="31"/>
        <v>34782.804941824514</v>
      </c>
      <c r="P31" s="824">
        <f t="shared" si="32"/>
        <v>266668.17122065462</v>
      </c>
      <c r="Q31" s="824">
        <f>0.3*(NCong!J40+NCong!J41+NCong!J44+NCong!J45+NCong!J47+NCong!J49+NCong!J62+NCong!J65+NCong!J66+NCong!J69+NCong!J71+NCong!J72+NCong!J74+NCong!J78+NCong!J79+NCong!J85+NCong!J89+NCong!J90+NCong!J91+NCong!J94+NCong!J96+NCong!J99)</f>
        <v>5402.3284615384609</v>
      </c>
    </row>
    <row r="32" spans="1:17" s="825" customFormat="1">
      <c r="A32" s="1091"/>
      <c r="B32" s="1096"/>
      <c r="C32" s="1091"/>
      <c r="D32" s="822">
        <v>2</v>
      </c>
      <c r="E32" s="824">
        <f>0.3*(NCong!I40+NCong!I41+NCong!I44+NCong!I45+NCong!I47+NCong!I51+NCong!I62+NCong!I65+NCong!I66+NCong!I69+NCong!I71+NCong!I72+NCong!I74+NCong!I78+NCong!I79+NCong!I85+NCong!I89+NCong!I90+NCong!I91+NCong!I94+NCong!I96+NCong!I99)</f>
        <v>197027.24598562499</v>
      </c>
      <c r="F32" s="824">
        <f t="shared" ref="F32:J34" si="38">F16</f>
        <v>13613.31</v>
      </c>
      <c r="G32" s="824">
        <f t="shared" si="38"/>
        <v>2360.7692055555558</v>
      </c>
      <c r="H32" s="824">
        <f t="shared" si="38"/>
        <v>32528</v>
      </c>
      <c r="I32" s="824">
        <f t="shared" si="38"/>
        <v>4453.3914642857144</v>
      </c>
      <c r="J32" s="824">
        <f t="shared" si="38"/>
        <v>5481.2467500000002</v>
      </c>
      <c r="K32" s="824">
        <f t="shared" si="27"/>
        <v>255463.96340546626</v>
      </c>
      <c r="L32" s="824">
        <f t="shared" si="28"/>
        <v>38319.594510819938</v>
      </c>
      <c r="M32" s="824">
        <f t="shared" si="29"/>
        <v>293783.55791628617</v>
      </c>
      <c r="N32" s="824">
        <f t="shared" si="30"/>
        <v>251010.57194118053</v>
      </c>
      <c r="O32" s="824">
        <f t="shared" si="31"/>
        <v>37651.58579117708</v>
      </c>
      <c r="P32" s="824">
        <f t="shared" si="32"/>
        <v>288662.15773235762</v>
      </c>
      <c r="Q32" s="824">
        <f>0.3*(NCong!J40+NCong!J41+NCong!J44+NCong!J45+NCong!J47+NCong!J51+NCong!J62+NCong!J65+NCong!J66+NCong!J69+NCong!J71+NCong!J72+NCong!J74+NCong!J78+NCong!J79+NCong!J85+NCong!J89+NCong!J90+NCong!J91+NCong!J94+NCong!J96+NCong!J99)</f>
        <v>5927.7899999999981</v>
      </c>
    </row>
    <row r="33" spans="1:17" s="825" customFormat="1">
      <c r="A33" s="1091"/>
      <c r="B33" s="1096"/>
      <c r="C33" s="1091"/>
      <c r="D33" s="822">
        <v>3</v>
      </c>
      <c r="E33" s="824">
        <f>0.3*(NCong!I40+NCong!I41+NCong!I44+NCong!I45+NCong!I47+NCong!I53+NCong!I62+NCong!I65+NCong!I66+NCong!I69+NCong!I71+NCong!I72+NCong!I74+NCong!I78+NCong!I79+NCong!I85+NCong!I89+NCong!I90+NCong!I91+NCong!I94+NCong!I96+NCong!I99)</f>
        <v>217001.773085625</v>
      </c>
      <c r="F33" s="824">
        <f t="shared" si="38"/>
        <v>16335.971999999998</v>
      </c>
      <c r="G33" s="824">
        <f t="shared" si="38"/>
        <v>2571.6506179059834</v>
      </c>
      <c r="H33" s="824">
        <f t="shared" si="38"/>
        <v>32528</v>
      </c>
      <c r="I33" s="824">
        <f t="shared" si="38"/>
        <v>4453.3914642857144</v>
      </c>
      <c r="J33" s="824">
        <f t="shared" si="38"/>
        <v>5481.2467500000002</v>
      </c>
      <c r="K33" s="824">
        <f t="shared" si="27"/>
        <v>278372.03391781671</v>
      </c>
      <c r="L33" s="824">
        <f t="shared" si="28"/>
        <v>41755.805087672503</v>
      </c>
      <c r="M33" s="824">
        <f t="shared" si="29"/>
        <v>320127.83900548919</v>
      </c>
      <c r="N33" s="824">
        <f t="shared" si="30"/>
        <v>273918.64245353098</v>
      </c>
      <c r="O33" s="824">
        <f t="shared" si="31"/>
        <v>41087.796368029645</v>
      </c>
      <c r="P33" s="824">
        <f t="shared" si="32"/>
        <v>315006.43882156065</v>
      </c>
      <c r="Q33" s="824">
        <f>0.3*(NCong!J40+NCong!J41+NCong!J44+NCong!J45+NCong!J47+NCong!J53+NCong!J62+NCong!J65+NCong!J66+NCong!J69+NCong!J71+NCong!J72+NCong!J74+NCong!J78+NCong!J79+NCong!J85+NCong!J89+NCong!J90+NCong!J91+NCong!J94+NCong!J96+NCong!J99)</f>
        <v>6558.3438461538453</v>
      </c>
    </row>
    <row r="34" spans="1:17" s="825" customFormat="1">
      <c r="A34" s="1095" t="s">
        <v>703</v>
      </c>
      <c r="B34" s="1096" t="s">
        <v>702</v>
      </c>
      <c r="C34" s="1091" t="s">
        <v>51</v>
      </c>
      <c r="D34" s="822">
        <v>1</v>
      </c>
      <c r="E34" s="824">
        <f>E18</f>
        <v>483543.25036874996</v>
      </c>
      <c r="F34" s="824">
        <f t="shared" si="38"/>
        <v>38155.082750000001</v>
      </c>
      <c r="G34" s="824">
        <f t="shared" si="38"/>
        <v>5164.7569146367523</v>
      </c>
      <c r="H34" s="824">
        <f t="shared" si="38"/>
        <v>32528</v>
      </c>
      <c r="I34" s="824">
        <f t="shared" si="38"/>
        <v>4453.3914642857144</v>
      </c>
      <c r="J34" s="824">
        <f t="shared" si="38"/>
        <v>5481.2467500000002</v>
      </c>
      <c r="K34" s="824">
        <f t="shared" si="27"/>
        <v>569325.72824767244</v>
      </c>
      <c r="L34" s="824">
        <f t="shared" si="28"/>
        <v>85398.859237150857</v>
      </c>
      <c r="M34" s="824">
        <f t="shared" si="29"/>
        <v>654724.58748482331</v>
      </c>
      <c r="N34" s="824">
        <f t="shared" si="30"/>
        <v>564872.33678338677</v>
      </c>
      <c r="O34" s="824">
        <f t="shared" si="31"/>
        <v>84730.850517508006</v>
      </c>
      <c r="P34" s="824">
        <f t="shared" si="32"/>
        <v>649603.18730089476</v>
      </c>
      <c r="Q34" s="824">
        <f>Q18</f>
        <v>14782.01153846154</v>
      </c>
    </row>
    <row r="35" spans="1:17" s="825" customFormat="1">
      <c r="A35" s="1091"/>
      <c r="B35" s="1096"/>
      <c r="C35" s="1091"/>
      <c r="D35" s="822">
        <v>2</v>
      </c>
      <c r="E35" s="824">
        <f t="shared" ref="E35:J37" si="39">E19</f>
        <v>539028.04786875017</v>
      </c>
      <c r="F35" s="824">
        <f t="shared" si="39"/>
        <v>45718.032749999998</v>
      </c>
      <c r="G35" s="824">
        <f t="shared" si="39"/>
        <v>5691.9604455128201</v>
      </c>
      <c r="H35" s="824">
        <f t="shared" si="39"/>
        <v>32528</v>
      </c>
      <c r="I35" s="824">
        <f t="shared" si="39"/>
        <v>4453.3914642857144</v>
      </c>
      <c r="J35" s="824">
        <f t="shared" si="39"/>
        <v>5481.2467500000002</v>
      </c>
      <c r="K35" s="824">
        <f t="shared" si="27"/>
        <v>632900.67927854869</v>
      </c>
      <c r="L35" s="824">
        <f t="shared" si="28"/>
        <v>94935.101891782295</v>
      </c>
      <c r="M35" s="824">
        <f t="shared" si="29"/>
        <v>727835.78117033094</v>
      </c>
      <c r="N35" s="824">
        <f t="shared" si="30"/>
        <v>628447.28781426302</v>
      </c>
      <c r="O35" s="824">
        <f t="shared" si="31"/>
        <v>94267.093172139445</v>
      </c>
      <c r="P35" s="824">
        <f t="shared" si="32"/>
        <v>722714.38098640251</v>
      </c>
      <c r="Q35" s="824">
        <f t="shared" ref="Q35:Q36" si="40">Q19</f>
        <v>16533.55</v>
      </c>
    </row>
    <row r="36" spans="1:17" s="825" customFormat="1">
      <c r="A36" s="1091"/>
      <c r="B36" s="1096"/>
      <c r="C36" s="1091"/>
      <c r="D36" s="822">
        <v>3</v>
      </c>
      <c r="E36" s="824">
        <f t="shared" si="39"/>
        <v>605609.80486875004</v>
      </c>
      <c r="F36" s="824">
        <f t="shared" si="39"/>
        <v>54793.572749999999</v>
      </c>
      <c r="G36" s="824">
        <f t="shared" si="39"/>
        <v>6219.1639763888888</v>
      </c>
      <c r="H36" s="824">
        <f t="shared" si="39"/>
        <v>32528</v>
      </c>
      <c r="I36" s="824">
        <f t="shared" si="39"/>
        <v>4453.3914642857144</v>
      </c>
      <c r="J36" s="824">
        <f t="shared" si="39"/>
        <v>5481.2467500000002</v>
      </c>
      <c r="K36" s="824">
        <f t="shared" si="27"/>
        <v>709085.17980942468</v>
      </c>
      <c r="L36" s="824">
        <f t="shared" si="28"/>
        <v>106362.7769714137</v>
      </c>
      <c r="M36" s="824">
        <f t="shared" si="29"/>
        <v>815447.95678083831</v>
      </c>
      <c r="N36" s="824">
        <f t="shared" si="30"/>
        <v>704631.78834513901</v>
      </c>
      <c r="O36" s="824">
        <f t="shared" si="31"/>
        <v>105694.76825177085</v>
      </c>
      <c r="P36" s="824">
        <f t="shared" si="32"/>
        <v>810326.55659690988</v>
      </c>
      <c r="Q36" s="824">
        <f t="shared" si="40"/>
        <v>18635.396153846155</v>
      </c>
    </row>
    <row r="37" spans="1:17" s="825" customFormat="1">
      <c r="A37" s="1095" t="s">
        <v>705</v>
      </c>
      <c r="B37" s="1096" t="s">
        <v>704</v>
      </c>
      <c r="C37" s="1091" t="s">
        <v>51</v>
      </c>
      <c r="D37" s="822">
        <v>1</v>
      </c>
      <c r="E37" s="824">
        <f>NCong!I40+NCong!I49+NCong!I66+NCong!I74+NCong!I78+NCong!I79+NCong!I85+NCong!I89+NCong!I90+NCong!I91+NCong!I94+NCong!I95</f>
        <v>505259.83426874992</v>
      </c>
      <c r="F37" s="824">
        <f>F21</f>
        <v>38155.082750000001</v>
      </c>
      <c r="G37" s="824">
        <f t="shared" si="39"/>
        <v>9322.1845379467304</v>
      </c>
      <c r="H37" s="824">
        <f t="shared" si="39"/>
        <v>58550.400000000001</v>
      </c>
      <c r="I37" s="824">
        <f t="shared" si="39"/>
        <v>8016.1046357142859</v>
      </c>
      <c r="J37" s="824">
        <f t="shared" si="39"/>
        <v>9866.2441500000004</v>
      </c>
      <c r="K37" s="824">
        <f t="shared" si="27"/>
        <v>629169.85034241108</v>
      </c>
      <c r="L37" s="824">
        <f t="shared" si="28"/>
        <v>94375.477551361662</v>
      </c>
      <c r="M37" s="824">
        <f t="shared" si="29"/>
        <v>723545.32789377274</v>
      </c>
      <c r="N37" s="824">
        <f t="shared" si="30"/>
        <v>621153.74570669676</v>
      </c>
      <c r="O37" s="824">
        <f t="shared" si="31"/>
        <v>93173.061856004511</v>
      </c>
      <c r="P37" s="824">
        <f t="shared" si="32"/>
        <v>714326.80756270129</v>
      </c>
      <c r="Q37" s="824">
        <f>NCong!J40+NCong!J49+NCong!J66+NCong!J74+NCong!J78+NCong!J79+NCong!J85+NCong!J89+NCong!J90+NCong!J91+NCong!J94+NCong!J95</f>
        <v>15162.484615384614</v>
      </c>
    </row>
    <row r="38" spans="1:17" s="825" customFormat="1">
      <c r="A38" s="1091"/>
      <c r="B38" s="1096"/>
      <c r="C38" s="1091"/>
      <c r="D38" s="822">
        <v>2</v>
      </c>
      <c r="E38" s="824">
        <f>NCong!I40+NCong!I51+NCong!I66+NCong!I74+NCong!I78+NCong!I79+NCong!I85+NCong!I89+NCong!I90+NCong!I91+NCong!I94+NCong!I95</f>
        <v>560744.63176875003</v>
      </c>
      <c r="F38" s="824">
        <f t="shared" ref="F38:J39" si="41">F22</f>
        <v>45718.032749999998</v>
      </c>
      <c r="G38" s="824">
        <f t="shared" si="41"/>
        <v>10273.997792590382</v>
      </c>
      <c r="H38" s="824">
        <f t="shared" si="41"/>
        <v>58550.400000000001</v>
      </c>
      <c r="I38" s="824">
        <f t="shared" si="41"/>
        <v>8016.1046357142859</v>
      </c>
      <c r="J38" s="824">
        <f t="shared" si="41"/>
        <v>9866.2441500000004</v>
      </c>
      <c r="K38" s="824">
        <f t="shared" si="27"/>
        <v>693169.41109705484</v>
      </c>
      <c r="L38" s="824">
        <f t="shared" si="28"/>
        <v>103975.41166455823</v>
      </c>
      <c r="M38" s="824">
        <f t="shared" si="29"/>
        <v>797144.82276161306</v>
      </c>
      <c r="N38" s="824">
        <f t="shared" si="30"/>
        <v>685153.30646134051</v>
      </c>
      <c r="O38" s="824">
        <f t="shared" si="31"/>
        <v>102772.99596920107</v>
      </c>
      <c r="P38" s="824">
        <f t="shared" si="32"/>
        <v>787926.3024305416</v>
      </c>
      <c r="Q38" s="824">
        <f>NCong!J40+NCong!J51+NCong!J66+NCong!J74+NCong!J78+NCong!J79+NCong!J85+NCong!J89+NCong!J90+NCong!J91+NCong!J94+NCong!J95</f>
        <v>16914.023076923073</v>
      </c>
    </row>
    <row r="39" spans="1:17" s="825" customFormat="1">
      <c r="A39" s="1091"/>
      <c r="B39" s="1096"/>
      <c r="C39" s="1091"/>
      <c r="D39" s="822">
        <v>3</v>
      </c>
      <c r="E39" s="824">
        <f>NCong!I40+NCong!I53+NCong!I66+NCong!I74+NCong!I78+NCong!I79+NCong!I85+NCong!I89+NCong!I90+NCong!I91+NCong!I94+NCong!I95</f>
        <v>627326.38876875013</v>
      </c>
      <c r="F39" s="824">
        <f t="shared" si="41"/>
        <v>54793.572749999999</v>
      </c>
      <c r="G39" s="824">
        <f t="shared" si="41"/>
        <v>11225.811047234038</v>
      </c>
      <c r="H39" s="824">
        <f t="shared" si="41"/>
        <v>58550.400000000001</v>
      </c>
      <c r="I39" s="824">
        <f t="shared" si="41"/>
        <v>8016.1046357142859</v>
      </c>
      <c r="J39" s="824">
        <f t="shared" si="41"/>
        <v>9866.2441500000004</v>
      </c>
      <c r="K39" s="824">
        <f t="shared" si="27"/>
        <v>769778.52135169855</v>
      </c>
      <c r="L39" s="824">
        <f t="shared" si="28"/>
        <v>115466.77820275478</v>
      </c>
      <c r="M39" s="824">
        <f t="shared" si="29"/>
        <v>885245.29955445335</v>
      </c>
      <c r="N39" s="824">
        <f t="shared" si="30"/>
        <v>761762.41671598423</v>
      </c>
      <c r="O39" s="824">
        <f t="shared" si="31"/>
        <v>114264.36250739763</v>
      </c>
      <c r="P39" s="824">
        <f t="shared" si="32"/>
        <v>876026.77922338189</v>
      </c>
      <c r="Q39" s="824">
        <f>NCong!J40+NCong!J53+NCong!J66+NCong!J74+NCong!J78+NCong!J79+NCong!J85+NCong!J89+NCong!J90+NCong!J91+NCong!J94+NCong!J95</f>
        <v>19015.869230769229</v>
      </c>
    </row>
    <row r="40" spans="1:17" s="770" customFormat="1">
      <c r="A40" s="773" t="s">
        <v>817</v>
      </c>
      <c r="B40" s="774" t="s">
        <v>816</v>
      </c>
      <c r="C40" s="771"/>
      <c r="D40" s="773"/>
      <c r="E40" s="776"/>
      <c r="F40" s="776"/>
      <c r="G40" s="776"/>
      <c r="H40" s="776"/>
      <c r="I40" s="776"/>
      <c r="J40" s="776"/>
      <c r="K40" s="776"/>
      <c r="L40" s="776"/>
      <c r="M40" s="776"/>
      <c r="N40" s="776"/>
      <c r="O40" s="776"/>
      <c r="P40" s="776"/>
      <c r="Q40" s="776"/>
    </row>
    <row r="41" spans="1:17" s="770" customFormat="1">
      <c r="A41" s="1083" t="s">
        <v>122</v>
      </c>
      <c r="B41" s="1085" t="s">
        <v>697</v>
      </c>
      <c r="C41" s="1084" t="s">
        <v>51</v>
      </c>
      <c r="D41" s="773">
        <v>1</v>
      </c>
      <c r="E41" s="776">
        <f>NCong!I18+NCong!I95</f>
        <v>1208902.9662187502</v>
      </c>
      <c r="F41" s="776">
        <f>NCong!I19</f>
        <v>92267.99</v>
      </c>
      <c r="G41" s="776">
        <f t="shared" ref="G41:J43" si="42">G9</f>
        <v>10357.982819940811</v>
      </c>
      <c r="H41" s="776">
        <f t="shared" si="42"/>
        <v>65056</v>
      </c>
      <c r="I41" s="776">
        <f t="shared" si="42"/>
        <v>8906.7829285714288</v>
      </c>
      <c r="J41" s="776">
        <f t="shared" si="42"/>
        <v>10962.4935</v>
      </c>
      <c r="K41" s="776">
        <f t="shared" ref="K41:K46" si="43">SUM(E41:J41)</f>
        <v>1396454.2154672625</v>
      </c>
      <c r="L41" s="776">
        <f t="shared" ref="L41:L46" si="44">$L$6*K41</f>
        <v>209468.13232008938</v>
      </c>
      <c r="M41" s="776">
        <f t="shared" ref="M41:M46" si="45">K41+L41</f>
        <v>1605922.3477873518</v>
      </c>
      <c r="N41" s="776">
        <f t="shared" ref="N41:N46" si="46">K41-I41</f>
        <v>1387547.4325386912</v>
      </c>
      <c r="O41" s="776">
        <f t="shared" ref="O41:O46" si="47">$L$6*N41</f>
        <v>208132.11488080368</v>
      </c>
      <c r="P41" s="776">
        <f t="shared" ref="P41:P46" si="48">N41+O41</f>
        <v>1595679.5474194949</v>
      </c>
      <c r="Q41" s="776">
        <f>NCong!J18+NCong!J95</f>
        <v>36545.850000000006</v>
      </c>
    </row>
    <row r="42" spans="1:17" s="770" customFormat="1">
      <c r="A42" s="1084"/>
      <c r="B42" s="1085"/>
      <c r="C42" s="1084"/>
      <c r="D42" s="773">
        <v>2</v>
      </c>
      <c r="E42" s="776">
        <f>NCong!I20+NCong!I95</f>
        <v>1276717.7187187499</v>
      </c>
      <c r="F42" s="776">
        <f>NCong!I21</f>
        <v>101343.53</v>
      </c>
      <c r="G42" s="776">
        <f t="shared" si="42"/>
        <v>11415.553102878202</v>
      </c>
      <c r="H42" s="776">
        <f t="shared" si="42"/>
        <v>65056</v>
      </c>
      <c r="I42" s="776">
        <f t="shared" si="42"/>
        <v>8906.7829285714288</v>
      </c>
      <c r="J42" s="776">
        <f t="shared" si="42"/>
        <v>10962.4935</v>
      </c>
      <c r="K42" s="776">
        <f t="shared" si="43"/>
        <v>1474402.0782501996</v>
      </c>
      <c r="L42" s="776">
        <f t="shared" si="44"/>
        <v>221160.31173752993</v>
      </c>
      <c r="M42" s="776">
        <f t="shared" si="45"/>
        <v>1695562.3899877295</v>
      </c>
      <c r="N42" s="776">
        <f t="shared" si="46"/>
        <v>1465495.2953216282</v>
      </c>
      <c r="O42" s="776">
        <f t="shared" si="47"/>
        <v>219824.29429824423</v>
      </c>
      <c r="P42" s="776">
        <f t="shared" si="48"/>
        <v>1685319.5896198724</v>
      </c>
      <c r="Q42" s="776">
        <f>NCong!J20+NCong!J95</f>
        <v>38686.619230769225</v>
      </c>
    </row>
    <row r="43" spans="1:17" s="770" customFormat="1">
      <c r="A43" s="1084"/>
      <c r="B43" s="1085"/>
      <c r="C43" s="1084"/>
      <c r="D43" s="773">
        <v>3</v>
      </c>
      <c r="E43" s="776">
        <f>NCong!I22+NCong!I95</f>
        <v>1351313.94646875</v>
      </c>
      <c r="F43" s="776">
        <f>NCong!I23</f>
        <v>110419.06999999999</v>
      </c>
      <c r="G43" s="776">
        <f t="shared" si="42"/>
        <v>12473.123385815597</v>
      </c>
      <c r="H43" s="776">
        <f t="shared" si="42"/>
        <v>65056</v>
      </c>
      <c r="I43" s="776">
        <f t="shared" si="42"/>
        <v>8906.7829285714288</v>
      </c>
      <c r="J43" s="776">
        <f t="shared" si="42"/>
        <v>10962.4935</v>
      </c>
      <c r="K43" s="776">
        <f t="shared" si="43"/>
        <v>1559131.4162831372</v>
      </c>
      <c r="L43" s="776">
        <f t="shared" si="44"/>
        <v>233869.71244247057</v>
      </c>
      <c r="M43" s="776">
        <f t="shared" si="45"/>
        <v>1793001.1287256076</v>
      </c>
      <c r="N43" s="776">
        <f t="shared" si="46"/>
        <v>1550224.6333545658</v>
      </c>
      <c r="O43" s="776">
        <f t="shared" si="47"/>
        <v>232533.69500318487</v>
      </c>
      <c r="P43" s="776">
        <f t="shared" si="48"/>
        <v>1782758.3283577508</v>
      </c>
      <c r="Q43" s="776">
        <f>NCong!J22+NCong!J95</f>
        <v>41041.465384615374</v>
      </c>
    </row>
    <row r="44" spans="1:17" s="770" customFormat="1">
      <c r="A44" s="1083" t="s">
        <v>572</v>
      </c>
      <c r="B44" s="1085" t="s">
        <v>698</v>
      </c>
      <c r="C44" s="1084" t="s">
        <v>51</v>
      </c>
      <c r="D44" s="773">
        <v>1</v>
      </c>
      <c r="E44" s="776">
        <f>E41*1.6</f>
        <v>1934244.7459500004</v>
      </c>
      <c r="F44" s="776">
        <f>F41*1.6</f>
        <v>147628.78400000001</v>
      </c>
      <c r="G44" s="776">
        <f>G41*1.6</f>
        <v>16572.772511905299</v>
      </c>
      <c r="H44" s="776">
        <f>H9</f>
        <v>65056</v>
      </c>
      <c r="I44" s="776">
        <f t="shared" ref="I44:J46" si="49">I41*1.6</f>
        <v>14250.852685714286</v>
      </c>
      <c r="J44" s="776">
        <f t="shared" si="49"/>
        <v>17539.989600000001</v>
      </c>
      <c r="K44" s="776">
        <f t="shared" si="43"/>
        <v>2195293.14474762</v>
      </c>
      <c r="L44" s="776">
        <f t="shared" si="44"/>
        <v>329293.97171214299</v>
      </c>
      <c r="M44" s="776">
        <f t="shared" si="45"/>
        <v>2524587.1164597631</v>
      </c>
      <c r="N44" s="776">
        <f t="shared" si="46"/>
        <v>2181042.2920619058</v>
      </c>
      <c r="O44" s="776">
        <f t="shared" si="47"/>
        <v>327156.34380928584</v>
      </c>
      <c r="P44" s="776">
        <f t="shared" si="48"/>
        <v>2508198.6358711915</v>
      </c>
      <c r="Q44" s="776">
        <f>Q41*1.6</f>
        <v>58473.360000000015</v>
      </c>
    </row>
    <row r="45" spans="1:17" s="770" customFormat="1">
      <c r="A45" s="1084"/>
      <c r="B45" s="1085"/>
      <c r="C45" s="1084"/>
      <c r="D45" s="773">
        <v>2</v>
      </c>
      <c r="E45" s="776">
        <f t="shared" ref="E45:G46" si="50">E42*1.6</f>
        <v>2042748.3499499999</v>
      </c>
      <c r="F45" s="776">
        <f t="shared" si="50"/>
        <v>162149.64800000002</v>
      </c>
      <c r="G45" s="776">
        <f t="shared" si="50"/>
        <v>18264.884964605124</v>
      </c>
      <c r="H45" s="776">
        <f>H10</f>
        <v>65056</v>
      </c>
      <c r="I45" s="776">
        <f t="shared" si="49"/>
        <v>14250.852685714286</v>
      </c>
      <c r="J45" s="776">
        <f t="shared" si="49"/>
        <v>17539.989600000001</v>
      </c>
      <c r="K45" s="776">
        <f t="shared" si="43"/>
        <v>2320009.7252003192</v>
      </c>
      <c r="L45" s="776">
        <f t="shared" si="44"/>
        <v>348001.45878004789</v>
      </c>
      <c r="M45" s="776">
        <f t="shared" si="45"/>
        <v>2668011.1839803671</v>
      </c>
      <c r="N45" s="776">
        <f t="shared" si="46"/>
        <v>2305758.8725146051</v>
      </c>
      <c r="O45" s="776">
        <f t="shared" si="47"/>
        <v>345863.83087719075</v>
      </c>
      <c r="P45" s="776">
        <f t="shared" si="48"/>
        <v>2651622.703391796</v>
      </c>
      <c r="Q45" s="776">
        <f t="shared" ref="Q45:Q46" si="51">Q42*1.6</f>
        <v>61898.590769230766</v>
      </c>
    </row>
    <row r="46" spans="1:17" s="770" customFormat="1">
      <c r="A46" s="1084"/>
      <c r="B46" s="1085"/>
      <c r="C46" s="1084"/>
      <c r="D46" s="773">
        <v>3</v>
      </c>
      <c r="E46" s="776">
        <f t="shared" si="50"/>
        <v>2162102.3143500001</v>
      </c>
      <c r="F46" s="776">
        <f t="shared" si="50"/>
        <v>176670.51199999999</v>
      </c>
      <c r="G46" s="776">
        <f t="shared" si="50"/>
        <v>19956.997417304956</v>
      </c>
      <c r="H46" s="776">
        <f>H11</f>
        <v>65056</v>
      </c>
      <c r="I46" s="776">
        <f t="shared" si="49"/>
        <v>14250.852685714286</v>
      </c>
      <c r="J46" s="776">
        <f t="shared" si="49"/>
        <v>17539.989600000001</v>
      </c>
      <c r="K46" s="776">
        <f t="shared" si="43"/>
        <v>2455576.6660530195</v>
      </c>
      <c r="L46" s="776">
        <f t="shared" si="44"/>
        <v>368336.49990795291</v>
      </c>
      <c r="M46" s="776">
        <f t="shared" si="45"/>
        <v>2823913.1659609722</v>
      </c>
      <c r="N46" s="776">
        <f t="shared" si="46"/>
        <v>2441325.8133673053</v>
      </c>
      <c r="O46" s="776">
        <f t="shared" si="47"/>
        <v>366198.87200509576</v>
      </c>
      <c r="P46" s="776">
        <f t="shared" si="48"/>
        <v>2807524.685372401</v>
      </c>
      <c r="Q46" s="776">
        <f t="shared" si="51"/>
        <v>65666.344615384602</v>
      </c>
    </row>
    <row r="47" spans="1:17" s="770" customFormat="1">
      <c r="A47" s="773" t="s">
        <v>137</v>
      </c>
      <c r="B47" s="774" t="s">
        <v>818</v>
      </c>
      <c r="C47" s="771"/>
      <c r="D47" s="773"/>
      <c r="E47" s="776"/>
      <c r="F47" s="776"/>
      <c r="G47" s="776"/>
      <c r="H47" s="776"/>
      <c r="I47" s="776"/>
      <c r="J47" s="776"/>
      <c r="K47" s="776"/>
      <c r="L47" s="776"/>
      <c r="M47" s="776"/>
      <c r="N47" s="776"/>
      <c r="O47" s="776"/>
      <c r="P47" s="776"/>
      <c r="Q47" s="776"/>
    </row>
    <row r="48" spans="1:17" s="825" customFormat="1">
      <c r="A48" s="1095" t="s">
        <v>122</v>
      </c>
      <c r="B48" s="1096" t="s">
        <v>697</v>
      </c>
      <c r="C48" s="1091" t="s">
        <v>51</v>
      </c>
      <c r="D48" s="822">
        <v>1</v>
      </c>
      <c r="E48" s="824">
        <f>NCong!I24+NCong!I95</f>
        <v>1136797.96621875</v>
      </c>
      <c r="F48" s="824">
        <f>F41</f>
        <v>92267.99</v>
      </c>
      <c r="G48" s="824">
        <f>G25</f>
        <v>10329.513829273505</v>
      </c>
      <c r="H48" s="824">
        <f>H25</f>
        <v>65056</v>
      </c>
      <c r="I48" s="824">
        <f t="shared" ref="I48:J48" si="52">I25</f>
        <v>8906.7829285714288</v>
      </c>
      <c r="J48" s="824">
        <f t="shared" si="52"/>
        <v>10962.4935</v>
      </c>
      <c r="K48" s="824">
        <f t="shared" ref="K48:K57" si="53">SUM(E48:J48)</f>
        <v>1324320.7464765948</v>
      </c>
      <c r="L48" s="824">
        <f t="shared" ref="L48:L53" si="54">$L$6*K48</f>
        <v>198648.11197148921</v>
      </c>
      <c r="M48" s="824">
        <f t="shared" ref="M48:M57" si="55">K48+L48</f>
        <v>1522968.858448084</v>
      </c>
      <c r="N48" s="824">
        <f t="shared" ref="N48:N53" si="56">K48-I48</f>
        <v>1315413.9635480235</v>
      </c>
      <c r="O48" s="824">
        <f t="shared" ref="O48:O53" si="57">$L$6*N48</f>
        <v>197312.09453220351</v>
      </c>
      <c r="P48" s="824">
        <f t="shared" ref="P48:P53" si="58">N48+O48</f>
        <v>1512726.0580802271</v>
      </c>
      <c r="Q48" s="824">
        <f>NCong!J24+NCong!J95</f>
        <v>34599.696153846155</v>
      </c>
    </row>
    <row r="49" spans="1:17" s="825" customFormat="1">
      <c r="A49" s="1091"/>
      <c r="B49" s="1096"/>
      <c r="C49" s="1091"/>
      <c r="D49" s="822">
        <v>2</v>
      </c>
      <c r="E49" s="824">
        <f>NCong!I26+NCong!I95</f>
        <v>1204612.7187187499</v>
      </c>
      <c r="F49" s="824">
        <f t="shared" ref="F49:F50" si="59">F42</f>
        <v>101343.53</v>
      </c>
      <c r="G49" s="824">
        <f t="shared" ref="G49:J50" si="60">G26</f>
        <v>11383.92089102564</v>
      </c>
      <c r="H49" s="824">
        <f t="shared" si="60"/>
        <v>65056</v>
      </c>
      <c r="I49" s="824">
        <f t="shared" si="60"/>
        <v>8906.7829285714288</v>
      </c>
      <c r="J49" s="824">
        <f t="shared" si="60"/>
        <v>10962.4935</v>
      </c>
      <c r="K49" s="824">
        <f t="shared" si="53"/>
        <v>1402265.446038347</v>
      </c>
      <c r="L49" s="824">
        <f t="shared" si="54"/>
        <v>210339.81690575203</v>
      </c>
      <c r="M49" s="824">
        <f t="shared" si="55"/>
        <v>1612605.262944099</v>
      </c>
      <c r="N49" s="824">
        <f t="shared" si="56"/>
        <v>1393358.6631097756</v>
      </c>
      <c r="O49" s="824">
        <f t="shared" si="57"/>
        <v>209003.79946646633</v>
      </c>
      <c r="P49" s="824">
        <f t="shared" si="58"/>
        <v>1602362.4625762419</v>
      </c>
      <c r="Q49" s="824">
        <f>NCong!J26+NCong!J95</f>
        <v>36740.465384615381</v>
      </c>
    </row>
    <row r="50" spans="1:17" s="825" customFormat="1">
      <c r="A50" s="1091"/>
      <c r="B50" s="1096"/>
      <c r="C50" s="1091"/>
      <c r="D50" s="822">
        <v>3</v>
      </c>
      <c r="E50" s="824">
        <f>NCong!I28+NCong!I95</f>
        <v>1279208.94646875</v>
      </c>
      <c r="F50" s="824">
        <f t="shared" si="59"/>
        <v>110419.06999999999</v>
      </c>
      <c r="G50" s="824">
        <f t="shared" si="60"/>
        <v>12438.327952777778</v>
      </c>
      <c r="H50" s="824">
        <f t="shared" si="60"/>
        <v>65056</v>
      </c>
      <c r="I50" s="824">
        <f t="shared" si="60"/>
        <v>8906.7829285714288</v>
      </c>
      <c r="J50" s="824">
        <f t="shared" si="60"/>
        <v>10962.4935</v>
      </c>
      <c r="K50" s="824">
        <f t="shared" si="53"/>
        <v>1486991.6208500993</v>
      </c>
      <c r="L50" s="824">
        <f t="shared" si="54"/>
        <v>223048.74312751487</v>
      </c>
      <c r="M50" s="824">
        <f t="shared" si="55"/>
        <v>1710040.3639776141</v>
      </c>
      <c r="N50" s="824">
        <f t="shared" si="56"/>
        <v>1478084.8379215279</v>
      </c>
      <c r="O50" s="824">
        <f t="shared" si="57"/>
        <v>221712.72568822917</v>
      </c>
      <c r="P50" s="824">
        <f t="shared" si="58"/>
        <v>1699797.563609757</v>
      </c>
      <c r="Q50" s="824">
        <f>NCong!J28+NCong!J95</f>
        <v>39095.31153846153</v>
      </c>
    </row>
    <row r="51" spans="1:17" s="825" customFormat="1">
      <c r="A51" s="1095" t="s">
        <v>572</v>
      </c>
      <c r="B51" s="1096" t="s">
        <v>698</v>
      </c>
      <c r="C51" s="1091" t="s">
        <v>51</v>
      </c>
      <c r="D51" s="822">
        <v>1</v>
      </c>
      <c r="E51" s="824">
        <f>E48*1.6</f>
        <v>1818876.7459500001</v>
      </c>
      <c r="F51" s="824">
        <f>F48*1.6</f>
        <v>147628.78400000001</v>
      </c>
      <c r="G51" s="824">
        <f>G48*1.6</f>
        <v>16527.222126837609</v>
      </c>
      <c r="H51" s="824">
        <f>H48</f>
        <v>65056</v>
      </c>
      <c r="I51" s="824">
        <f t="shared" ref="I51:J53" si="61">I48*1.6</f>
        <v>14250.852685714286</v>
      </c>
      <c r="J51" s="824">
        <f t="shared" si="61"/>
        <v>17539.989600000001</v>
      </c>
      <c r="K51" s="824">
        <f t="shared" si="53"/>
        <v>2079879.594362552</v>
      </c>
      <c r="L51" s="824">
        <f t="shared" si="54"/>
        <v>311981.9391543828</v>
      </c>
      <c r="M51" s="824">
        <f t="shared" si="55"/>
        <v>2391861.5335169351</v>
      </c>
      <c r="N51" s="824">
        <f t="shared" si="56"/>
        <v>2065628.7416768377</v>
      </c>
      <c r="O51" s="824">
        <f t="shared" si="57"/>
        <v>309844.31125152565</v>
      </c>
      <c r="P51" s="824">
        <f t="shared" si="58"/>
        <v>2375473.0529283634</v>
      </c>
      <c r="Q51" s="824">
        <f>Q48*1.6</f>
        <v>55359.513846153852</v>
      </c>
    </row>
    <row r="52" spans="1:17" s="825" customFormat="1">
      <c r="A52" s="1091"/>
      <c r="B52" s="1096"/>
      <c r="C52" s="1091"/>
      <c r="D52" s="822">
        <v>2</v>
      </c>
      <c r="E52" s="824">
        <f t="shared" ref="E52:G53" si="62">E49*1.6</f>
        <v>1927380.3499499999</v>
      </c>
      <c r="F52" s="824">
        <f t="shared" si="62"/>
        <v>162149.64800000002</v>
      </c>
      <c r="G52" s="824">
        <f t="shared" si="62"/>
        <v>18214.273425641026</v>
      </c>
      <c r="H52" s="824">
        <f t="shared" ref="H52:H53" si="63">H49</f>
        <v>65056</v>
      </c>
      <c r="I52" s="824">
        <f t="shared" si="61"/>
        <v>14250.852685714286</v>
      </c>
      <c r="J52" s="824">
        <f t="shared" si="61"/>
        <v>17539.989600000001</v>
      </c>
      <c r="K52" s="824">
        <f t="shared" si="53"/>
        <v>2204591.1136613553</v>
      </c>
      <c r="L52" s="824">
        <f t="shared" si="54"/>
        <v>330688.6670492033</v>
      </c>
      <c r="M52" s="824">
        <f t="shared" si="55"/>
        <v>2535279.7807105584</v>
      </c>
      <c r="N52" s="824">
        <f t="shared" si="56"/>
        <v>2190340.2609756412</v>
      </c>
      <c r="O52" s="824">
        <f t="shared" si="57"/>
        <v>328551.03914634616</v>
      </c>
      <c r="P52" s="824">
        <f t="shared" si="58"/>
        <v>2518891.3001219872</v>
      </c>
      <c r="Q52" s="824">
        <f t="shared" ref="Q52:Q53" si="64">Q49*1.6</f>
        <v>58784.74461538461</v>
      </c>
    </row>
    <row r="53" spans="1:17" s="825" customFormat="1">
      <c r="A53" s="1091"/>
      <c r="B53" s="1096"/>
      <c r="C53" s="1091"/>
      <c r="D53" s="822">
        <v>3</v>
      </c>
      <c r="E53" s="824">
        <f t="shared" si="62"/>
        <v>2046734.3143500001</v>
      </c>
      <c r="F53" s="824">
        <f t="shared" si="62"/>
        <v>176670.51199999999</v>
      </c>
      <c r="G53" s="824">
        <f t="shared" si="62"/>
        <v>19901.324724444446</v>
      </c>
      <c r="H53" s="824">
        <f t="shared" si="63"/>
        <v>65056</v>
      </c>
      <c r="I53" s="824">
        <f t="shared" si="61"/>
        <v>14250.852685714286</v>
      </c>
      <c r="J53" s="824">
        <f t="shared" si="61"/>
        <v>17539.989600000001</v>
      </c>
      <c r="K53" s="824">
        <f t="shared" si="53"/>
        <v>2340152.993360159</v>
      </c>
      <c r="L53" s="824">
        <f t="shared" si="54"/>
        <v>351022.94900402386</v>
      </c>
      <c r="M53" s="824">
        <f t="shared" si="55"/>
        <v>2691175.9423641828</v>
      </c>
      <c r="N53" s="824">
        <f t="shared" si="56"/>
        <v>2325902.1406744448</v>
      </c>
      <c r="O53" s="824">
        <f t="shared" si="57"/>
        <v>348885.32110116672</v>
      </c>
      <c r="P53" s="824">
        <f t="shared" si="58"/>
        <v>2674787.4617756116</v>
      </c>
      <c r="Q53" s="824">
        <f t="shared" si="64"/>
        <v>62552.498461538453</v>
      </c>
    </row>
    <row r="54" spans="1:17" s="780" customFormat="1" hidden="1">
      <c r="A54" s="1087" t="str">
        <f>NCong!A6</f>
        <v>I.1</v>
      </c>
      <c r="B54" s="1088" t="str">
        <f>NCong!B6</f>
        <v>CÁC NỘI DUNG THỰC HIỆN TẠI ĐỊA BÀN XÃ, PHƯỜNG (ĐỐI VỚI CÁ NHÂN CÓ PHẢI CHUẨN BỊ HỢP ĐỒNG THUÊ ĐẤT)</v>
      </c>
      <c r="C54" s="1087" t="s">
        <v>51</v>
      </c>
      <c r="D54" s="778">
        <v>1</v>
      </c>
      <c r="E54" s="779">
        <f>NCong!I6</f>
        <v>759644.92229999998</v>
      </c>
      <c r="F54" s="779">
        <f>NCong!I7</f>
        <v>38155.082750000001</v>
      </c>
      <c r="G54" s="779">
        <f>Dcu!J20</f>
        <v>9489.6635557692316</v>
      </c>
      <c r="H54" s="779">
        <f>VLieu!H$23</f>
        <v>48325.5</v>
      </c>
      <c r="I54" s="779">
        <f>Tbi!I5</f>
        <v>6994.8023571428575</v>
      </c>
      <c r="J54" s="779">
        <f>Tbi!I12</f>
        <v>10693.147500000001</v>
      </c>
      <c r="K54" s="779">
        <f t="shared" si="53"/>
        <v>873303.11846291216</v>
      </c>
      <c r="L54" s="779">
        <f>$L$6*K54</f>
        <v>130995.46776943681</v>
      </c>
      <c r="M54" s="779">
        <f t="shared" si="55"/>
        <v>1004298.5862323489</v>
      </c>
      <c r="N54" s="776">
        <f t="shared" si="1"/>
        <v>866308.31610576925</v>
      </c>
      <c r="O54" s="776">
        <f t="shared" si="2"/>
        <v>129946.24741586538</v>
      </c>
      <c r="P54" s="776">
        <f t="shared" si="3"/>
        <v>996254.56352163467</v>
      </c>
      <c r="Q54" s="779">
        <f>NCong!J6</f>
        <v>22673.665384615379</v>
      </c>
    </row>
    <row r="55" spans="1:17" s="780" customFormat="1" hidden="1">
      <c r="A55" s="1087"/>
      <c r="B55" s="1088"/>
      <c r="C55" s="1087"/>
      <c r="D55" s="778">
        <v>2</v>
      </c>
      <c r="E55" s="779">
        <f>NCong!I8</f>
        <v>816254.55780000007</v>
      </c>
      <c r="F55" s="779">
        <f>NCong!I9</f>
        <v>45718.032749999998</v>
      </c>
      <c r="G55" s="779">
        <f>Dcu!J21</f>
        <v>10544.070617521367</v>
      </c>
      <c r="H55" s="779">
        <f>VLieu!H$23</f>
        <v>48325.5</v>
      </c>
      <c r="I55" s="779">
        <f>Tbi!I5</f>
        <v>6994.8023571428575</v>
      </c>
      <c r="J55" s="779">
        <f>Tbi!I12</f>
        <v>10693.147500000001</v>
      </c>
      <c r="K55" s="779">
        <f t="shared" si="53"/>
        <v>938530.11102466437</v>
      </c>
      <c r="L55" s="779">
        <f>$L$6*K55</f>
        <v>140779.51665369965</v>
      </c>
      <c r="M55" s="779">
        <f t="shared" si="55"/>
        <v>1079309.627678364</v>
      </c>
      <c r="N55" s="776">
        <f t="shared" si="1"/>
        <v>931535.30866752146</v>
      </c>
      <c r="O55" s="776">
        <f t="shared" si="2"/>
        <v>139730.29630012822</v>
      </c>
      <c r="P55" s="776">
        <f t="shared" si="3"/>
        <v>1071265.6049676496</v>
      </c>
      <c r="Q55" s="779">
        <f>NCong!J8</f>
        <v>24464.126923076918</v>
      </c>
    </row>
    <row r="56" spans="1:17" s="780" customFormat="1" hidden="1">
      <c r="A56" s="1087"/>
      <c r="B56" s="1088"/>
      <c r="C56" s="1087"/>
      <c r="D56" s="778">
        <v>3</v>
      </c>
      <c r="E56" s="779">
        <f>NCong!I10</f>
        <v>882836.31480000017</v>
      </c>
      <c r="F56" s="779">
        <f>NCong!I11</f>
        <v>54793.572749999999</v>
      </c>
      <c r="G56" s="779">
        <f>Dcu!J22</f>
        <v>11598.477679273505</v>
      </c>
      <c r="H56" s="779">
        <f>VLieu!H$23</f>
        <v>48325.5</v>
      </c>
      <c r="I56" s="779">
        <f>Tbi!I5</f>
        <v>6994.8023571428575</v>
      </c>
      <c r="J56" s="779">
        <f>Tbi!I12</f>
        <v>10693.147500000001</v>
      </c>
      <c r="K56" s="779">
        <f t="shared" si="53"/>
        <v>1015241.8150864166</v>
      </c>
      <c r="L56" s="779">
        <f>$L$6*K56</f>
        <v>152286.27226296248</v>
      </c>
      <c r="M56" s="779">
        <f t="shared" si="55"/>
        <v>1167528.087349379</v>
      </c>
      <c r="N56" s="776">
        <f t="shared" si="1"/>
        <v>1008247.0127292736</v>
      </c>
      <c r="O56" s="776">
        <f t="shared" si="2"/>
        <v>151237.05190939104</v>
      </c>
      <c r="P56" s="776">
        <f t="shared" si="3"/>
        <v>1159484.0646386647</v>
      </c>
      <c r="Q56" s="779">
        <f>NCong!J10</f>
        <v>26565.97307692307</v>
      </c>
    </row>
    <row r="57" spans="1:17" s="770" customFormat="1" hidden="1">
      <c r="A57" s="777" t="str">
        <f>NCong!A95</f>
        <v>I.2</v>
      </c>
      <c r="B57" s="781" t="str">
        <f>NCong!B95</f>
        <v>CÁC NỘI DUNG THỰC HIỆN TẠI ĐỊA BÀN CẤP TỈNH</v>
      </c>
      <c r="C57" s="771" t="s">
        <v>51</v>
      </c>
      <c r="D57" s="782" t="s">
        <v>31</v>
      </c>
      <c r="E57" s="776">
        <f>NCong!I95</f>
        <v>29383.41841875</v>
      </c>
      <c r="F57" s="776"/>
      <c r="G57" s="776">
        <f>Dcu!L20</f>
        <v>839.85027350427356</v>
      </c>
      <c r="H57" s="776">
        <f>VLieu!J23</f>
        <v>16730.5</v>
      </c>
      <c r="I57" s="776">
        <f>Tbi!I13</f>
        <v>1911.9805714285717</v>
      </c>
      <c r="J57" s="776">
        <f>Dcu!L16</f>
        <v>269.346</v>
      </c>
      <c r="K57" s="776">
        <f t="shared" si="53"/>
        <v>49135.095263682844</v>
      </c>
      <c r="L57" s="776">
        <f>$L$6*K57</f>
        <v>7370.2642895524259</v>
      </c>
      <c r="M57" s="776">
        <f t="shared" si="55"/>
        <v>56505.35955323527</v>
      </c>
      <c r="N57" s="776">
        <f t="shared" si="1"/>
        <v>47223.114692254276</v>
      </c>
      <c r="O57" s="776">
        <f t="shared" si="2"/>
        <v>7083.4672038381414</v>
      </c>
      <c r="P57" s="776">
        <f t="shared" si="3"/>
        <v>54306.581896092415</v>
      </c>
      <c r="Q57" s="776">
        <f>NCong!J95</f>
        <v>696.72307692307686</v>
      </c>
    </row>
    <row r="58" spans="1:17" s="769" customFormat="1" ht="11.25" customHeight="1">
      <c r="A58" s="771" t="str">
        <f>NCong!A113</f>
        <v>II</v>
      </c>
      <c r="B58" s="1100" t="str">
        <f>NCong!B113</f>
        <v>Đăng ký, cấp Giấy chứng nhận lần đầu đơn lẻ đối với hộ gia đình, cá nhân, cộng đồng dân cư, tổ chức trong nước, người gốc Việt Nam định cư ở nước ngoài tại địa bàn xã, phường</v>
      </c>
      <c r="C58" s="1099"/>
      <c r="D58" s="1099"/>
      <c r="E58" s="1099"/>
      <c r="F58" s="1099"/>
      <c r="G58" s="1099"/>
      <c r="H58" s="1099"/>
      <c r="I58" s="1099"/>
      <c r="J58" s="1099"/>
      <c r="K58" s="1099"/>
      <c r="L58" s="1099"/>
      <c r="M58" s="1099"/>
      <c r="N58" s="1099"/>
      <c r="O58" s="1099"/>
      <c r="P58" s="1099"/>
      <c r="Q58" s="783"/>
    </row>
    <row r="59" spans="1:17" s="769" customFormat="1" ht="11.25" customHeight="1">
      <c r="A59" s="771" t="s">
        <v>19</v>
      </c>
      <c r="B59" s="774" t="s">
        <v>748</v>
      </c>
      <c r="C59" s="775"/>
      <c r="D59" s="775"/>
      <c r="E59" s="775"/>
      <c r="F59" s="775"/>
      <c r="G59" s="775"/>
      <c r="H59" s="775"/>
      <c r="I59" s="775"/>
      <c r="J59" s="775"/>
      <c r="K59" s="775"/>
      <c r="L59" s="775"/>
      <c r="M59" s="775"/>
      <c r="N59" s="775"/>
      <c r="O59" s="775"/>
      <c r="P59" s="775"/>
      <c r="Q59" s="783"/>
    </row>
    <row r="60" spans="1:17" s="769" customFormat="1" ht="11.25" customHeight="1">
      <c r="A60" s="771" t="s">
        <v>819</v>
      </c>
      <c r="B60" s="834" t="s">
        <v>820</v>
      </c>
      <c r="C60" s="775"/>
      <c r="D60" s="775"/>
      <c r="E60" s="775"/>
      <c r="F60" s="775"/>
      <c r="G60" s="775"/>
      <c r="H60" s="775"/>
      <c r="I60" s="775"/>
      <c r="J60" s="775"/>
      <c r="K60" s="775"/>
      <c r="L60" s="775"/>
      <c r="M60" s="775"/>
      <c r="N60" s="775"/>
      <c r="O60" s="775"/>
      <c r="P60" s="775"/>
      <c r="Q60" s="783"/>
    </row>
    <row r="61" spans="1:17" s="770" customFormat="1">
      <c r="A61" s="1084" t="s">
        <v>526</v>
      </c>
      <c r="B61" s="1086" t="s">
        <v>697</v>
      </c>
      <c r="C61" s="1084" t="s">
        <v>51</v>
      </c>
      <c r="D61" s="771">
        <v>1</v>
      </c>
      <c r="E61" s="776">
        <f t="shared" ref="E61:J63" si="65">E106+E$109</f>
        <v>1530327.6780000001</v>
      </c>
      <c r="F61" s="776">
        <f t="shared" si="65"/>
        <v>105881.29999999999</v>
      </c>
      <c r="G61" s="776">
        <f t="shared" si="65"/>
        <v>16097.225333333336</v>
      </c>
      <c r="H61" s="776">
        <f t="shared" si="65"/>
        <v>43976</v>
      </c>
      <c r="I61" s="776">
        <f t="shared" si="65"/>
        <v>7693.2133571428576</v>
      </c>
      <c r="J61" s="776">
        <f t="shared" si="65"/>
        <v>13881.224700000001</v>
      </c>
      <c r="K61" s="776">
        <f>SUM(E61:J61)</f>
        <v>1717856.6413904761</v>
      </c>
      <c r="L61" s="776">
        <f>K61*15%</f>
        <v>257678.49620857142</v>
      </c>
      <c r="M61" s="776">
        <f>K61+L61</f>
        <v>1975535.1375990475</v>
      </c>
      <c r="N61" s="776">
        <f>K61-I61</f>
        <v>1710163.4280333333</v>
      </c>
      <c r="O61" s="776">
        <f>$L$6*N61</f>
        <v>256524.51420499998</v>
      </c>
      <c r="P61" s="776">
        <f>N61+O61</f>
        <v>1966687.9422383332</v>
      </c>
      <c r="Q61" s="776">
        <f t="shared" ref="Q61:Q63" si="66">Q106+Q$109</f>
        <v>45306.461538461532</v>
      </c>
    </row>
    <row r="62" spans="1:17" s="770" customFormat="1">
      <c r="A62" s="1084"/>
      <c r="B62" s="1086"/>
      <c r="C62" s="1084"/>
      <c r="D62" s="771" t="s">
        <v>33</v>
      </c>
      <c r="E62" s="776">
        <f>E107+E$109</f>
        <v>1585812.4754999999</v>
      </c>
      <c r="F62" s="776">
        <f>F107</f>
        <v>116469.43000000001</v>
      </c>
      <c r="G62" s="776">
        <f t="shared" si="65"/>
        <v>16097.225333333336</v>
      </c>
      <c r="H62" s="776">
        <f t="shared" si="65"/>
        <v>43976</v>
      </c>
      <c r="I62" s="776">
        <f t="shared" si="65"/>
        <v>7693.2133571428576</v>
      </c>
      <c r="J62" s="776">
        <f t="shared" si="65"/>
        <v>13881.224700000001</v>
      </c>
      <c r="K62" s="776">
        <f t="shared" ref="K62:K109" si="67">SUM(E62:J62)</f>
        <v>1783929.5688904759</v>
      </c>
      <c r="L62" s="776">
        <f t="shared" ref="L62:L109" si="68">K62*15%</f>
        <v>267589.4353335714</v>
      </c>
      <c r="M62" s="776">
        <f>K62+L62</f>
        <v>2051519.0042240473</v>
      </c>
      <c r="N62" s="776">
        <f t="shared" ref="N62:N66" si="69">K62-I62</f>
        <v>1776236.355533333</v>
      </c>
      <c r="O62" s="776">
        <f t="shared" ref="O62:O66" si="70">$L$6*N62</f>
        <v>266435.45332999993</v>
      </c>
      <c r="P62" s="776">
        <f t="shared" ref="P62:P66" si="71">N62+O62</f>
        <v>2042671.808863333</v>
      </c>
      <c r="Q62" s="776">
        <f t="shared" si="66"/>
        <v>47057.999999999993</v>
      </c>
    </row>
    <row r="63" spans="1:17" s="770" customFormat="1">
      <c r="A63" s="1084"/>
      <c r="B63" s="1086"/>
      <c r="C63" s="1084"/>
      <c r="D63" s="771" t="s">
        <v>34</v>
      </c>
      <c r="E63" s="776">
        <f>E108+E$109</f>
        <v>1646845.75275</v>
      </c>
      <c r="F63" s="776">
        <f>F108</f>
        <v>128116.37299999999</v>
      </c>
      <c r="G63" s="776">
        <f t="shared" si="65"/>
        <v>16097.225333333336</v>
      </c>
      <c r="H63" s="776">
        <f t="shared" si="65"/>
        <v>43976</v>
      </c>
      <c r="I63" s="776">
        <f t="shared" si="65"/>
        <v>7693.2133571428576</v>
      </c>
      <c r="J63" s="776">
        <f t="shared" si="65"/>
        <v>13881.224700000001</v>
      </c>
      <c r="K63" s="776">
        <f t="shared" si="67"/>
        <v>1856609.7891404759</v>
      </c>
      <c r="L63" s="776">
        <f t="shared" si="68"/>
        <v>278491.46837107139</v>
      </c>
      <c r="M63" s="776">
        <f>K63+L63</f>
        <v>2135101.2575115473</v>
      </c>
      <c r="N63" s="776">
        <f t="shared" si="69"/>
        <v>1848916.575783333</v>
      </c>
      <c r="O63" s="776">
        <f t="shared" si="70"/>
        <v>277337.48636749992</v>
      </c>
      <c r="P63" s="776">
        <f t="shared" si="71"/>
        <v>2126254.0621508332</v>
      </c>
      <c r="Q63" s="776">
        <f t="shared" si="66"/>
        <v>48984.692307692298</v>
      </c>
    </row>
    <row r="64" spans="1:17" s="770" customFormat="1">
      <c r="A64" s="1084" t="s">
        <v>531</v>
      </c>
      <c r="B64" s="1086" t="s">
        <v>698</v>
      </c>
      <c r="C64" s="1084" t="s">
        <v>51</v>
      </c>
      <c r="D64" s="771">
        <v>1</v>
      </c>
      <c r="E64" s="776">
        <f>NCong!M114+NCong!M194</f>
        <v>2216111.1225000001</v>
      </c>
      <c r="F64" s="776">
        <f>NCong!M115</f>
        <v>137645.69</v>
      </c>
      <c r="G64" s="776">
        <f>G61*1.3</f>
        <v>20926.392933333336</v>
      </c>
      <c r="H64" s="776">
        <f>H61</f>
        <v>43976</v>
      </c>
      <c r="I64" s="776">
        <f>I61*1.3</f>
        <v>10001.177364285715</v>
      </c>
      <c r="J64" s="776">
        <f>J61*1.3</f>
        <v>18045.592110000001</v>
      </c>
      <c r="K64" s="776">
        <f t="shared" si="67"/>
        <v>2446705.9749076189</v>
      </c>
      <c r="L64" s="776">
        <f t="shared" si="68"/>
        <v>367005.89623614284</v>
      </c>
      <c r="M64" s="776">
        <f t="shared" ref="M64:M66" si="72">K64+L64</f>
        <v>2813711.871143762</v>
      </c>
      <c r="N64" s="776">
        <f t="shared" si="69"/>
        <v>2436704.7975433334</v>
      </c>
      <c r="O64" s="776">
        <f t="shared" si="70"/>
        <v>365505.71963150002</v>
      </c>
      <c r="P64" s="776">
        <f t="shared" si="71"/>
        <v>2802210.5171748335</v>
      </c>
      <c r="Q64" s="776">
        <f>NCong!P114+NCong!P194</f>
        <v>65838.384615384595</v>
      </c>
    </row>
    <row r="65" spans="1:17" s="770" customFormat="1">
      <c r="A65" s="1084"/>
      <c r="B65" s="1086"/>
      <c r="C65" s="1084"/>
      <c r="D65" s="771" t="s">
        <v>33</v>
      </c>
      <c r="E65" s="776">
        <f>NCong!M116+NCong!M194</f>
        <v>2288241.3592500002</v>
      </c>
      <c r="F65" s="776">
        <f>NCong!M117</f>
        <v>151410.25899999999</v>
      </c>
      <c r="G65" s="776">
        <f t="shared" ref="G65:G66" si="73">G62*1.3</f>
        <v>20926.392933333336</v>
      </c>
      <c r="H65" s="776">
        <f t="shared" ref="H65:H66" si="74">H62</f>
        <v>43976</v>
      </c>
      <c r="I65" s="776">
        <f t="shared" ref="I65:J66" si="75">I62*1.3</f>
        <v>10001.177364285715</v>
      </c>
      <c r="J65" s="776">
        <f t="shared" si="75"/>
        <v>18045.592110000001</v>
      </c>
      <c r="K65" s="776">
        <f t="shared" si="67"/>
        <v>2532600.7806576192</v>
      </c>
      <c r="L65" s="776">
        <f t="shared" si="68"/>
        <v>379890.11709864286</v>
      </c>
      <c r="M65" s="776">
        <f t="shared" si="72"/>
        <v>2912490.8977562622</v>
      </c>
      <c r="N65" s="776">
        <f t="shared" si="69"/>
        <v>2522599.6032933337</v>
      </c>
      <c r="O65" s="776">
        <f t="shared" si="70"/>
        <v>378389.94049400004</v>
      </c>
      <c r="P65" s="776">
        <f t="shared" si="71"/>
        <v>2900989.5437873336</v>
      </c>
      <c r="Q65" s="776">
        <f>NCong!P116+NCong!P194</f>
        <v>68115.384615384595</v>
      </c>
    </row>
    <row r="66" spans="1:17" s="770" customFormat="1">
      <c r="A66" s="1084"/>
      <c r="B66" s="1086"/>
      <c r="C66" s="1084"/>
      <c r="D66" s="771" t="s">
        <v>34</v>
      </c>
      <c r="E66" s="776">
        <f>NCong!M118+NCong!M194</f>
        <v>2367769.5690000001</v>
      </c>
      <c r="F66" s="776">
        <f>NCong!M119</f>
        <v>166536.15899999999</v>
      </c>
      <c r="G66" s="776">
        <f t="shared" si="73"/>
        <v>20926.392933333336</v>
      </c>
      <c r="H66" s="776">
        <f t="shared" si="74"/>
        <v>43976</v>
      </c>
      <c r="I66" s="776">
        <f t="shared" si="75"/>
        <v>10001.177364285715</v>
      </c>
      <c r="J66" s="776">
        <f t="shared" si="75"/>
        <v>18045.592110000001</v>
      </c>
      <c r="K66" s="776">
        <f t="shared" si="67"/>
        <v>2627254.8904076191</v>
      </c>
      <c r="L66" s="776">
        <f t="shared" si="68"/>
        <v>394088.23356114287</v>
      </c>
      <c r="M66" s="776">
        <f t="shared" si="72"/>
        <v>3021343.1239687619</v>
      </c>
      <c r="N66" s="776">
        <f t="shared" si="69"/>
        <v>2617253.7130433335</v>
      </c>
      <c r="O66" s="776">
        <f t="shared" si="70"/>
        <v>392588.05695649999</v>
      </c>
      <c r="P66" s="776">
        <f t="shared" si="71"/>
        <v>3009841.7699998333</v>
      </c>
      <c r="Q66" s="776">
        <f>NCong!P118+NCong!P194</f>
        <v>70625.923076923049</v>
      </c>
    </row>
    <row r="67" spans="1:17" s="770" customFormat="1">
      <c r="A67" s="771" t="s">
        <v>821</v>
      </c>
      <c r="B67" s="834" t="s">
        <v>822</v>
      </c>
      <c r="C67" s="771"/>
      <c r="D67" s="771"/>
      <c r="E67" s="776"/>
      <c r="F67" s="776"/>
      <c r="G67" s="776"/>
      <c r="H67" s="776"/>
      <c r="I67" s="776"/>
      <c r="J67" s="776"/>
      <c r="K67" s="776"/>
      <c r="L67" s="776"/>
      <c r="M67" s="776"/>
      <c r="N67" s="776"/>
      <c r="O67" s="776"/>
      <c r="P67" s="776"/>
      <c r="Q67" s="776"/>
    </row>
    <row r="68" spans="1:17" s="825" customFormat="1">
      <c r="A68" s="1091" t="s">
        <v>526</v>
      </c>
      <c r="B68" s="1092" t="s">
        <v>697</v>
      </c>
      <c r="C68" s="1091" t="s">
        <v>51</v>
      </c>
      <c r="D68" s="823">
        <v>1</v>
      </c>
      <c r="E68" s="824">
        <f>NCong!K120+NCong!K194</f>
        <v>1458222.6780000001</v>
      </c>
      <c r="F68" s="824">
        <f>NCong!K121</f>
        <v>105881.29999999999</v>
      </c>
      <c r="G68" s="824">
        <f>G61</f>
        <v>16097.225333333336</v>
      </c>
      <c r="H68" s="824">
        <f t="shared" ref="H68:J68" si="76">H61</f>
        <v>43976</v>
      </c>
      <c r="I68" s="824">
        <f t="shared" si="76"/>
        <v>7693.2133571428576</v>
      </c>
      <c r="J68" s="824">
        <f t="shared" si="76"/>
        <v>13881.224700000001</v>
      </c>
      <c r="K68" s="824">
        <f t="shared" ref="K68:K73" si="77">SUM(E68:J68)</f>
        <v>1645751.6413904761</v>
      </c>
      <c r="L68" s="824">
        <f t="shared" ref="L68:L73" si="78">K68*15%</f>
        <v>246862.74620857142</v>
      </c>
      <c r="M68" s="824">
        <f t="shared" ref="M68:M73" si="79">K68+L68</f>
        <v>1892614.3875990475</v>
      </c>
      <c r="N68" s="824">
        <f t="shared" ref="N68:N73" si="80">K68-I68</f>
        <v>1638058.4280333333</v>
      </c>
      <c r="O68" s="824">
        <f t="shared" ref="O68:O73" si="81">$L$6*N68</f>
        <v>245708.76420499998</v>
      </c>
      <c r="P68" s="824">
        <f t="shared" ref="P68:P73" si="82">N68+O68</f>
        <v>1883767.1922383332</v>
      </c>
      <c r="Q68" s="824">
        <f>NCong!N120+NCong!N194</f>
        <v>43360.307692307688</v>
      </c>
    </row>
    <row r="69" spans="1:17" s="825" customFormat="1">
      <c r="A69" s="1091"/>
      <c r="B69" s="1092"/>
      <c r="C69" s="1091"/>
      <c r="D69" s="823" t="s">
        <v>33</v>
      </c>
      <c r="E69" s="824">
        <f>NCong!K122+NCong!K194</f>
        <v>1513707.4754999999</v>
      </c>
      <c r="F69" s="824">
        <f>NCong!K123</f>
        <v>116469.43000000001</v>
      </c>
      <c r="G69" s="824">
        <f t="shared" ref="G69:J70" si="83">G62</f>
        <v>16097.225333333336</v>
      </c>
      <c r="H69" s="824">
        <f t="shared" si="83"/>
        <v>43976</v>
      </c>
      <c r="I69" s="824">
        <f t="shared" si="83"/>
        <v>7693.2133571428576</v>
      </c>
      <c r="J69" s="824">
        <f t="shared" si="83"/>
        <v>13881.224700000001</v>
      </c>
      <c r="K69" s="824">
        <f t="shared" si="77"/>
        <v>1711824.5688904759</v>
      </c>
      <c r="L69" s="824">
        <f t="shared" si="78"/>
        <v>256773.68533357137</v>
      </c>
      <c r="M69" s="824">
        <f t="shared" si="79"/>
        <v>1968598.2542240473</v>
      </c>
      <c r="N69" s="824">
        <f t="shared" si="80"/>
        <v>1704131.355533333</v>
      </c>
      <c r="O69" s="824">
        <f t="shared" si="81"/>
        <v>255619.70332999993</v>
      </c>
      <c r="P69" s="824">
        <f t="shared" si="82"/>
        <v>1959751.058863333</v>
      </c>
      <c r="Q69" s="824">
        <f>NCong!N122+NCong!N194</f>
        <v>45111.846153846149</v>
      </c>
    </row>
    <row r="70" spans="1:17" s="825" customFormat="1">
      <c r="A70" s="1091"/>
      <c r="B70" s="1092"/>
      <c r="C70" s="1091"/>
      <c r="D70" s="823" t="s">
        <v>34</v>
      </c>
      <c r="E70" s="824">
        <f>NCong!K124+NCong!K194</f>
        <v>1574740.75275</v>
      </c>
      <c r="F70" s="824">
        <f>NCong!K125</f>
        <v>128116.37299999999</v>
      </c>
      <c r="G70" s="824">
        <f t="shared" si="83"/>
        <v>16097.225333333336</v>
      </c>
      <c r="H70" s="824">
        <f t="shared" si="83"/>
        <v>43976</v>
      </c>
      <c r="I70" s="824">
        <f t="shared" si="83"/>
        <v>7693.2133571428576</v>
      </c>
      <c r="J70" s="824">
        <f t="shared" si="83"/>
        <v>13881.224700000001</v>
      </c>
      <c r="K70" s="824">
        <f t="shared" si="77"/>
        <v>1784504.7891404759</v>
      </c>
      <c r="L70" s="824">
        <f t="shared" si="78"/>
        <v>267675.71837107139</v>
      </c>
      <c r="M70" s="824">
        <f t="shared" si="79"/>
        <v>2052180.5075115473</v>
      </c>
      <c r="N70" s="824">
        <f t="shared" si="80"/>
        <v>1776811.575783333</v>
      </c>
      <c r="O70" s="824">
        <f t="shared" si="81"/>
        <v>266521.73636749992</v>
      </c>
      <c r="P70" s="824">
        <f t="shared" si="82"/>
        <v>2043333.312150833</v>
      </c>
      <c r="Q70" s="824">
        <f>NCong!N124+NCong!N194</f>
        <v>47038.538461538454</v>
      </c>
    </row>
    <row r="71" spans="1:17" s="825" customFormat="1">
      <c r="A71" s="1091" t="s">
        <v>531</v>
      </c>
      <c r="B71" s="1092" t="s">
        <v>698</v>
      </c>
      <c r="C71" s="1091" t="s">
        <v>51</v>
      </c>
      <c r="D71" s="823">
        <v>1</v>
      </c>
      <c r="E71" s="824">
        <f>NCong!M120+NCong!M194</f>
        <v>2144006.1225000005</v>
      </c>
      <c r="F71" s="824">
        <f>NCong!M121</f>
        <v>137645.69</v>
      </c>
      <c r="G71" s="824">
        <f>G68*1.3</f>
        <v>20926.392933333336</v>
      </c>
      <c r="H71" s="824">
        <f>H68</f>
        <v>43976</v>
      </c>
      <c r="I71" s="824">
        <f>I68*1.3</f>
        <v>10001.177364285715</v>
      </c>
      <c r="J71" s="824">
        <f t="shared" ref="J71:J73" si="84">J68*1.3</f>
        <v>18045.592110000001</v>
      </c>
      <c r="K71" s="824">
        <f t="shared" si="77"/>
        <v>2374600.9749076194</v>
      </c>
      <c r="L71" s="824">
        <f t="shared" si="78"/>
        <v>356190.1462361429</v>
      </c>
      <c r="M71" s="824">
        <f t="shared" si="79"/>
        <v>2730791.1211437625</v>
      </c>
      <c r="N71" s="824">
        <f t="shared" si="80"/>
        <v>2364599.7975433338</v>
      </c>
      <c r="O71" s="824">
        <f t="shared" si="81"/>
        <v>354689.96963150008</v>
      </c>
      <c r="P71" s="824">
        <f t="shared" si="82"/>
        <v>2719289.7671748339</v>
      </c>
      <c r="Q71" s="824">
        <f>NCong!P120+NCong!P194</f>
        <v>63892.230769230751</v>
      </c>
    </row>
    <row r="72" spans="1:17" s="825" customFormat="1">
      <c r="A72" s="1091"/>
      <c r="B72" s="1092"/>
      <c r="C72" s="1091"/>
      <c r="D72" s="823" t="s">
        <v>33</v>
      </c>
      <c r="E72" s="824">
        <f>NCong!M122+NCong!M194</f>
        <v>2216136.3592500002</v>
      </c>
      <c r="F72" s="824">
        <f>NCong!M123</f>
        <v>151410.25899999999</v>
      </c>
      <c r="G72" s="824">
        <f t="shared" ref="G72:G73" si="85">G69*1.3</f>
        <v>20926.392933333336</v>
      </c>
      <c r="H72" s="824">
        <f t="shared" ref="H72:H73" si="86">H69</f>
        <v>43976</v>
      </c>
      <c r="I72" s="824">
        <f t="shared" ref="I72:I73" si="87">I69*1.3</f>
        <v>10001.177364285715</v>
      </c>
      <c r="J72" s="824">
        <f t="shared" si="84"/>
        <v>18045.592110000001</v>
      </c>
      <c r="K72" s="824">
        <f t="shared" si="77"/>
        <v>2460495.7806576192</v>
      </c>
      <c r="L72" s="824">
        <f t="shared" si="78"/>
        <v>369074.36709864286</v>
      </c>
      <c r="M72" s="824">
        <f t="shared" si="79"/>
        <v>2829570.1477562622</v>
      </c>
      <c r="N72" s="824">
        <f t="shared" si="80"/>
        <v>2450494.6032933337</v>
      </c>
      <c r="O72" s="824">
        <f t="shared" si="81"/>
        <v>367574.19049400004</v>
      </c>
      <c r="P72" s="824">
        <f t="shared" si="82"/>
        <v>2818068.7937873336</v>
      </c>
      <c r="Q72" s="824">
        <f>NCong!P122+NCong!P194</f>
        <v>66169.230769230751</v>
      </c>
    </row>
    <row r="73" spans="1:17" s="825" customFormat="1">
      <c r="A73" s="1091"/>
      <c r="B73" s="1092"/>
      <c r="C73" s="1091"/>
      <c r="D73" s="823" t="s">
        <v>34</v>
      </c>
      <c r="E73" s="824">
        <f>NCong!M124+NCong!M194</f>
        <v>2295664.5690000001</v>
      </c>
      <c r="F73" s="824">
        <f>NCong!M125</f>
        <v>166536.15899999999</v>
      </c>
      <c r="G73" s="824">
        <f t="shared" si="85"/>
        <v>20926.392933333336</v>
      </c>
      <c r="H73" s="824">
        <f t="shared" si="86"/>
        <v>43976</v>
      </c>
      <c r="I73" s="824">
        <f t="shared" si="87"/>
        <v>10001.177364285715</v>
      </c>
      <c r="J73" s="824">
        <f t="shared" si="84"/>
        <v>18045.592110000001</v>
      </c>
      <c r="K73" s="824">
        <f t="shared" si="77"/>
        <v>2555149.8904076191</v>
      </c>
      <c r="L73" s="824">
        <f t="shared" si="78"/>
        <v>383272.48356114287</v>
      </c>
      <c r="M73" s="824">
        <f t="shared" si="79"/>
        <v>2938422.3739687619</v>
      </c>
      <c r="N73" s="824">
        <f t="shared" si="80"/>
        <v>2545148.7130433335</v>
      </c>
      <c r="O73" s="824">
        <f t="shared" si="81"/>
        <v>381772.30695649999</v>
      </c>
      <c r="P73" s="824">
        <f t="shared" si="82"/>
        <v>2926921.0199998333</v>
      </c>
      <c r="Q73" s="824">
        <f>NCong!P124+NCong!P194</f>
        <v>68679.769230769205</v>
      </c>
    </row>
    <row r="74" spans="1:17" s="770" customFormat="1">
      <c r="A74" s="1084" t="s">
        <v>571</v>
      </c>
      <c r="B74" s="1090" t="s">
        <v>710</v>
      </c>
      <c r="C74" s="1084" t="s">
        <v>51</v>
      </c>
      <c r="D74" s="771">
        <v>1</v>
      </c>
      <c r="E74" s="776">
        <f>0.3*(NCong!K141+NCong!K142+NCong!K145+NCong!K146+NCong!K148+NCong!K150+NCong!K163+NCong!K166+NCong!K167+NCong!K170+NCong!K172+NCong!K173+NCong!K175+NCong!K179+NCong!K183+NCong!K185+NCong!K186+NCong!K189+NCong!K192+NCong!K195)</f>
        <v>394536.92849999998</v>
      </c>
      <c r="F74" s="776">
        <f>0.3*F61</f>
        <v>31764.389999999996</v>
      </c>
      <c r="G74" s="776">
        <f t="shared" ref="G74:J76" si="88">G61*0.3</f>
        <v>4829.1676000000007</v>
      </c>
      <c r="H74" s="776">
        <f t="shared" si="88"/>
        <v>13192.8</v>
      </c>
      <c r="I74" s="776">
        <f t="shared" si="88"/>
        <v>2307.9640071428571</v>
      </c>
      <c r="J74" s="776">
        <f t="shared" si="88"/>
        <v>4164.3674099999998</v>
      </c>
      <c r="K74" s="776">
        <f>SUM(E74:J74)</f>
        <v>450795.61751714285</v>
      </c>
      <c r="L74" s="776">
        <f>K74*15%</f>
        <v>67619.34262757143</v>
      </c>
      <c r="M74" s="776">
        <f>K74+L74</f>
        <v>518414.96014471428</v>
      </c>
      <c r="N74" s="776">
        <f>K74-I74</f>
        <v>448487.65350999997</v>
      </c>
      <c r="O74" s="776">
        <f>$L$6*N74</f>
        <v>67273.148026499999</v>
      </c>
      <c r="P74" s="776">
        <f>N74+O74</f>
        <v>515760.80153649999</v>
      </c>
      <c r="Q74" s="776">
        <f>0.3*(NCong!N141+NCong!N142+NCong!N145+NCong!N146+NCong!N148+NCong!N150+NCong!N163+NCong!N166+NCong!N167+NCong!N170+NCong!N172+NCong!N173+NCong!N175+NCong!N179+NCong!N183+NCong!N185+NCong!N186+NCong!N189+NCong!N192+NCong!N195)</f>
        <v>11711.953846153845</v>
      </c>
    </row>
    <row r="75" spans="1:17" s="770" customFormat="1">
      <c r="A75" s="1084"/>
      <c r="B75" s="1090"/>
      <c r="C75" s="1084"/>
      <c r="D75" s="771" t="s">
        <v>33</v>
      </c>
      <c r="E75" s="776">
        <f>0.3*(NCong!K141+NCong!K142+NCong!K145+NCong!K146+NCong!K148+NCong!K152+NCong!K163+NCong!K166+NCong!K167+NCong!K170+NCong!K172+NCong!K173+NCong!K175+NCong!K179+NCong!K183+NCong!K185+NCong!K186+NCong!K189+NCong!K192+NCong!K195)</f>
        <v>411182.36775000003</v>
      </c>
      <c r="F75" s="776">
        <f>0.3*F62</f>
        <v>34940.828999999998</v>
      </c>
      <c r="G75" s="776">
        <f t="shared" si="88"/>
        <v>4829.1676000000007</v>
      </c>
      <c r="H75" s="776">
        <f t="shared" si="88"/>
        <v>13192.8</v>
      </c>
      <c r="I75" s="776">
        <f t="shared" si="88"/>
        <v>2307.9640071428571</v>
      </c>
      <c r="J75" s="776">
        <f t="shared" si="88"/>
        <v>4164.3674099999998</v>
      </c>
      <c r="K75" s="776">
        <f t="shared" ref="K75:K83" si="89">SUM(E75:J75)</f>
        <v>470617.49576714286</v>
      </c>
      <c r="L75" s="776">
        <f t="shared" ref="L75:L90" si="90">K75*15%</f>
        <v>70592.624365071431</v>
      </c>
      <c r="M75" s="776">
        <f t="shared" ref="M75:M83" si="91">K75+L75</f>
        <v>541210.12013221427</v>
      </c>
      <c r="N75" s="776">
        <f t="shared" ref="N75:N83" si="92">K75-I75</f>
        <v>468309.53175999998</v>
      </c>
      <c r="O75" s="776">
        <f t="shared" ref="O75:O90" si="93">$L$6*N75</f>
        <v>70246.429764</v>
      </c>
      <c r="P75" s="776">
        <f t="shared" ref="P75:P83" si="94">N75+O75</f>
        <v>538555.96152399993</v>
      </c>
      <c r="Q75" s="776">
        <f>0.3*(NCong!N141+NCong!N142+NCong!N145+NCong!N146+NCong!N148+NCong!N152+NCong!N163+NCong!N166+NCong!N167+NCong!N170+NCong!N172+NCong!N173+NCong!N175+NCong!N179+NCong!N183+NCong!N185+NCong!N186+NCong!N189+NCong!N192+NCong!N195)</f>
        <v>12237.41538461538</v>
      </c>
    </row>
    <row r="76" spans="1:17" s="770" customFormat="1">
      <c r="A76" s="1084"/>
      <c r="B76" s="1090"/>
      <c r="C76" s="1084"/>
      <c r="D76" s="771" t="s">
        <v>34</v>
      </c>
      <c r="E76" s="776">
        <f>0.3*(NCong!K141+NCong!K142+NCong!K145+NCong!K146+NCong!K148+NCong!K154+NCong!K163+NCong!K166+NCong!K167+NCong!K170+NCong!K172+NCong!K173+NCong!K175+NCong!K179+NCong!K183+NCong!K185+NCong!K186+NCong!K189+NCong!K192+NCong!K195)</f>
        <v>429492.35092500004</v>
      </c>
      <c r="F76" s="776">
        <f>0.3*F63</f>
        <v>38434.911899999999</v>
      </c>
      <c r="G76" s="776">
        <f t="shared" si="88"/>
        <v>4829.1676000000007</v>
      </c>
      <c r="H76" s="776">
        <f t="shared" si="88"/>
        <v>13192.8</v>
      </c>
      <c r="I76" s="776">
        <f t="shared" si="88"/>
        <v>2307.9640071428571</v>
      </c>
      <c r="J76" s="776">
        <f t="shared" si="88"/>
        <v>4164.3674099999998</v>
      </c>
      <c r="K76" s="776">
        <f t="shared" si="89"/>
        <v>492421.5618421429</v>
      </c>
      <c r="L76" s="776">
        <f t="shared" si="90"/>
        <v>73863.234276321426</v>
      </c>
      <c r="M76" s="776">
        <f t="shared" si="91"/>
        <v>566284.79611846432</v>
      </c>
      <c r="N76" s="776">
        <f t="shared" si="92"/>
        <v>490113.59783500002</v>
      </c>
      <c r="O76" s="776">
        <f t="shared" si="93"/>
        <v>73517.039675249995</v>
      </c>
      <c r="P76" s="776">
        <f t="shared" si="94"/>
        <v>563630.63751024997</v>
      </c>
      <c r="Q76" s="776">
        <f>0.3*(NCong!N141+NCong!N142+NCong!N145+NCong!N146+NCong!N148+NCong!N154+NCong!N163+NCong!N166+NCong!N167+NCong!N170+NCong!N172+NCong!N173+NCong!N175+NCong!N179+NCong!N183+NCong!N185+NCong!N186+NCong!N189+NCong!N192+NCong!N195)</f>
        <v>12815.423076923073</v>
      </c>
    </row>
    <row r="77" spans="1:17" s="770" customFormat="1" ht="14.25" customHeight="1">
      <c r="A77" s="771" t="s">
        <v>708</v>
      </c>
      <c r="B77" s="784" t="s">
        <v>702</v>
      </c>
      <c r="C77" s="771"/>
      <c r="D77" s="771"/>
      <c r="E77" s="776"/>
      <c r="F77" s="776"/>
      <c r="G77" s="776"/>
      <c r="H77" s="776"/>
      <c r="I77" s="776"/>
      <c r="J77" s="776"/>
      <c r="K77" s="776"/>
      <c r="L77" s="776"/>
      <c r="M77" s="776"/>
      <c r="N77" s="776"/>
      <c r="O77" s="776"/>
      <c r="P77" s="776"/>
      <c r="Q77" s="776"/>
    </row>
    <row r="78" spans="1:17" s="770" customFormat="1">
      <c r="A78" s="1089">
        <v>1</v>
      </c>
      <c r="B78" s="1085" t="s">
        <v>711</v>
      </c>
      <c r="C78" s="1084" t="s">
        <v>51</v>
      </c>
      <c r="D78" s="771">
        <v>1</v>
      </c>
      <c r="E78" s="776">
        <f>NCong!K140+NCong!K141+NCong!K142+NCong!K145+NCong!K146+NCong!K148+NCong!K150+NCong!K163+NCong!K166+NCong!K170+NCong!K173+NCong!K195</f>
        <v>862036.90649999992</v>
      </c>
      <c r="F78" s="776">
        <f>F61</f>
        <v>105881.29999999999</v>
      </c>
      <c r="G78" s="776">
        <f>G61*0.5</f>
        <v>8048.6126666666678</v>
      </c>
      <c r="H78" s="776">
        <f t="shared" ref="H78:J80" si="95">H61*0.5</f>
        <v>21988</v>
      </c>
      <c r="I78" s="776">
        <f t="shared" si="95"/>
        <v>3846.6066785714288</v>
      </c>
      <c r="J78" s="776">
        <f t="shared" si="95"/>
        <v>6940.6123500000003</v>
      </c>
      <c r="K78" s="776">
        <f t="shared" si="89"/>
        <v>1008742.0381952379</v>
      </c>
      <c r="L78" s="776">
        <f t="shared" si="90"/>
        <v>151311.30572928567</v>
      </c>
      <c r="M78" s="776">
        <f t="shared" si="91"/>
        <v>1160053.3439245236</v>
      </c>
      <c r="N78" s="776">
        <f t="shared" si="92"/>
        <v>1004895.4315166664</v>
      </c>
      <c r="O78" s="776">
        <f t="shared" si="93"/>
        <v>150734.31472749996</v>
      </c>
      <c r="P78" s="776">
        <f t="shared" si="94"/>
        <v>1155629.7462441665</v>
      </c>
      <c r="Q78" s="776">
        <f>NCong!N140+NCong!N141+NCong!N142+NCong!N145+NCong!N146+NCong!N148+NCong!N150+NCong!N163+NCong!N166+NCong!N170+NCong!N173+NCong!N195</f>
        <v>26312</v>
      </c>
    </row>
    <row r="79" spans="1:17" s="770" customFormat="1">
      <c r="A79" s="1089"/>
      <c r="B79" s="1085"/>
      <c r="C79" s="1084"/>
      <c r="D79" s="771" t="s">
        <v>33</v>
      </c>
      <c r="E79" s="776">
        <f>NCong!K140+NCong!K141+NCong!K142+NCong!K145+NCong!K146+NCong!K148+NCong!K152+NCong!K163+NCong!K166+NCong!K170+NCong!K173+NCong!K195</f>
        <v>917521.70400000003</v>
      </c>
      <c r="F79" s="776">
        <f>F62</f>
        <v>116469.43000000001</v>
      </c>
      <c r="G79" s="776">
        <f>G62*0.5</f>
        <v>8048.6126666666678</v>
      </c>
      <c r="H79" s="776">
        <f t="shared" si="95"/>
        <v>21988</v>
      </c>
      <c r="I79" s="776">
        <f t="shared" si="95"/>
        <v>3846.6066785714288</v>
      </c>
      <c r="J79" s="776">
        <f t="shared" si="95"/>
        <v>6940.6123500000003</v>
      </c>
      <c r="K79" s="776">
        <f t="shared" si="89"/>
        <v>1074814.965695238</v>
      </c>
      <c r="L79" s="776">
        <f t="shared" si="90"/>
        <v>161222.2448542857</v>
      </c>
      <c r="M79" s="776">
        <f t="shared" si="91"/>
        <v>1236037.2105495236</v>
      </c>
      <c r="N79" s="776">
        <f t="shared" si="92"/>
        <v>1070968.3590166667</v>
      </c>
      <c r="O79" s="776">
        <f t="shared" si="93"/>
        <v>160645.2538525</v>
      </c>
      <c r="P79" s="776">
        <f t="shared" si="94"/>
        <v>1231613.6128691668</v>
      </c>
      <c r="Q79" s="776">
        <f>NCong!N140+NCong!N141+NCong!N142+NCong!N145+NCong!N146+NCong!N148+NCong!N152+NCong!N163+NCong!N166+NCong!N170+NCong!N173+NCong!N195</f>
        <v>28063.538461538457</v>
      </c>
    </row>
    <row r="80" spans="1:17" s="770" customFormat="1">
      <c r="A80" s="1089"/>
      <c r="B80" s="1085"/>
      <c r="C80" s="1084"/>
      <c r="D80" s="771" t="s">
        <v>34</v>
      </c>
      <c r="E80" s="776">
        <f>NCong!K140+NCong!K141+NCong!K142+NCong!K145+NCong!K146+NCong!K148+NCong!K154+NCong!K163+NCong!K166+NCong!K170+NCong!K173+NCong!K195</f>
        <v>978554.98125000007</v>
      </c>
      <c r="F80" s="776">
        <f>F63</f>
        <v>128116.37299999999</v>
      </c>
      <c r="G80" s="776">
        <f>G63*0.5</f>
        <v>8048.6126666666678</v>
      </c>
      <c r="H80" s="776">
        <f t="shared" si="95"/>
        <v>21988</v>
      </c>
      <c r="I80" s="776">
        <f t="shared" si="95"/>
        <v>3846.6066785714288</v>
      </c>
      <c r="J80" s="776">
        <f t="shared" si="95"/>
        <v>6940.6123500000003</v>
      </c>
      <c r="K80" s="776">
        <f t="shared" si="89"/>
        <v>1147495.1859452382</v>
      </c>
      <c r="L80" s="776">
        <f t="shared" si="90"/>
        <v>172124.27789178572</v>
      </c>
      <c r="M80" s="776">
        <f t="shared" si="91"/>
        <v>1319619.4638370238</v>
      </c>
      <c r="N80" s="776">
        <f t="shared" si="92"/>
        <v>1143648.5792666669</v>
      </c>
      <c r="O80" s="776">
        <f t="shared" si="93"/>
        <v>171547.28689000002</v>
      </c>
      <c r="P80" s="776">
        <f t="shared" si="94"/>
        <v>1315195.866156667</v>
      </c>
      <c r="Q80" s="776">
        <f>NCong!N140+NCong!N141+NCong!N142+NCong!N145+NCong!N146+NCong!N148+NCong!N154+NCong!N163+NCong!N166+NCong!N170+NCong!N173+NCong!N195</f>
        <v>29990.230769230766</v>
      </c>
    </row>
    <row r="81" spans="1:17" s="770" customFormat="1">
      <c r="A81" s="1089">
        <v>2</v>
      </c>
      <c r="B81" s="1085" t="s">
        <v>712</v>
      </c>
      <c r="C81" s="1084" t="s">
        <v>51</v>
      </c>
      <c r="D81" s="771">
        <v>1</v>
      </c>
      <c r="E81" s="776">
        <f>NCong!M140+NCong!M141+NCong!M142+NCong!M145+NCong!M146+NCong!M148+NCong!M150+NCong!M163+NCong!M166+NCong!M170+NCong!M173+NCong!M195</f>
        <v>1440355.0589999999</v>
      </c>
      <c r="F81" s="776">
        <f>NCong!M115</f>
        <v>137645.69</v>
      </c>
      <c r="G81" s="776">
        <f>G78*1.3</f>
        <v>10463.196466666668</v>
      </c>
      <c r="H81" s="776">
        <f>H78</f>
        <v>21988</v>
      </c>
      <c r="I81" s="776">
        <f>I78*1.3</f>
        <v>5000.5886821428576</v>
      </c>
      <c r="J81" s="776">
        <f>J78*1.3</f>
        <v>9022.7960550000007</v>
      </c>
      <c r="K81" s="776">
        <f t="shared" si="89"/>
        <v>1624475.3302038093</v>
      </c>
      <c r="L81" s="776">
        <f t="shared" si="90"/>
        <v>243671.29953057138</v>
      </c>
      <c r="M81" s="776">
        <f t="shared" si="91"/>
        <v>1868146.6297343806</v>
      </c>
      <c r="N81" s="776">
        <f t="shared" si="92"/>
        <v>1619474.7415216665</v>
      </c>
      <c r="O81" s="776">
        <f t="shared" si="93"/>
        <v>242921.21122824997</v>
      </c>
      <c r="P81" s="776">
        <f t="shared" si="94"/>
        <v>1862395.9527499166</v>
      </c>
      <c r="Q81" s="776">
        <f>NCong!P140+NCong!P141+NCong!P142+NCong!P145+NCong!P146+NCong!P148+NCong!P150+NCong!P163+NCong!P166+NCong!P170+NCong!P173+NCong!P195</f>
        <v>43866.307692307681</v>
      </c>
    </row>
    <row r="82" spans="1:17" s="770" customFormat="1">
      <c r="A82" s="1089"/>
      <c r="B82" s="1085"/>
      <c r="C82" s="1084"/>
      <c r="D82" s="771" t="s">
        <v>33</v>
      </c>
      <c r="E82" s="776">
        <f>NCong!M140+NCong!M141+NCong!M142+NCong!M145+NCong!M146+NCong!M148+NCong!M152+NCong!M163+NCong!M166+NCong!M170+NCong!M173+NCong!M195</f>
        <v>1512485.29575</v>
      </c>
      <c r="F82" s="776">
        <f>NCong!M117</f>
        <v>151410.25899999999</v>
      </c>
      <c r="G82" s="776">
        <f t="shared" ref="G82:G83" si="96">G79*1.3</f>
        <v>10463.196466666668</v>
      </c>
      <c r="H82" s="776">
        <f t="shared" ref="H82:H83" si="97">H79</f>
        <v>21988</v>
      </c>
      <c r="I82" s="776">
        <f t="shared" ref="I82:J83" si="98">I79*1.3</f>
        <v>5000.5886821428576</v>
      </c>
      <c r="J82" s="776">
        <f t="shared" si="98"/>
        <v>9022.7960550000007</v>
      </c>
      <c r="K82" s="776">
        <f t="shared" si="89"/>
        <v>1710370.1359538096</v>
      </c>
      <c r="L82" s="776">
        <f t="shared" si="90"/>
        <v>256555.52039307143</v>
      </c>
      <c r="M82" s="776">
        <f t="shared" si="91"/>
        <v>1966925.6563468811</v>
      </c>
      <c r="N82" s="776">
        <f t="shared" si="92"/>
        <v>1705369.5472716668</v>
      </c>
      <c r="O82" s="776">
        <f t="shared" si="93"/>
        <v>255805.43209075002</v>
      </c>
      <c r="P82" s="776">
        <f t="shared" si="94"/>
        <v>1961174.9793624168</v>
      </c>
      <c r="Q82" s="776">
        <f>NCong!P140+NCong!P141+NCong!P142+NCong!P145+NCong!P146+NCong!P148+NCong!P152+NCong!P163+NCong!P166+NCong!P170+NCong!P173+NCong!P195</f>
        <v>46143.307692307681</v>
      </c>
    </row>
    <row r="83" spans="1:17" s="770" customFormat="1">
      <c r="A83" s="1089"/>
      <c r="B83" s="1085"/>
      <c r="C83" s="1084"/>
      <c r="D83" s="771" t="s">
        <v>34</v>
      </c>
      <c r="E83" s="776">
        <f>NCong!M140+NCong!M141+NCong!M142+NCong!M145+NCong!M146+NCong!M148+NCong!M154+NCong!M163+NCong!M166+NCong!M170+NCong!M173+NCong!M195</f>
        <v>1592013.5055</v>
      </c>
      <c r="F83" s="776">
        <f>NCong!M119</f>
        <v>166536.15899999999</v>
      </c>
      <c r="G83" s="776">
        <f t="shared" si="96"/>
        <v>10463.196466666668</v>
      </c>
      <c r="H83" s="776">
        <f t="shared" si="97"/>
        <v>21988</v>
      </c>
      <c r="I83" s="776">
        <f t="shared" si="98"/>
        <v>5000.5886821428576</v>
      </c>
      <c r="J83" s="776">
        <f t="shared" si="98"/>
        <v>9022.7960550000007</v>
      </c>
      <c r="K83" s="776">
        <f t="shared" si="89"/>
        <v>1805024.2457038094</v>
      </c>
      <c r="L83" s="776">
        <f t="shared" si="90"/>
        <v>270753.63685557141</v>
      </c>
      <c r="M83" s="776">
        <f t="shared" si="91"/>
        <v>2075777.882559381</v>
      </c>
      <c r="N83" s="776">
        <f t="shared" si="92"/>
        <v>1800023.6570216666</v>
      </c>
      <c r="O83" s="776">
        <f t="shared" si="93"/>
        <v>270003.54855324997</v>
      </c>
      <c r="P83" s="776">
        <f t="shared" si="94"/>
        <v>2070027.2055749167</v>
      </c>
      <c r="Q83" s="776">
        <f>NCong!P140+NCong!P141+NCong!P142+NCong!P145+NCong!P146+NCong!P148+NCong!P154+NCong!P163+NCong!P166+NCong!P170+NCong!P173+NCong!P195</f>
        <v>48653.846153846149</v>
      </c>
    </row>
    <row r="84" spans="1:17" s="770" customFormat="1" ht="14">
      <c r="A84" s="771" t="s">
        <v>709</v>
      </c>
      <c r="B84" s="784" t="s">
        <v>714</v>
      </c>
      <c r="C84" s="771"/>
      <c r="D84" s="771"/>
      <c r="E84" s="776"/>
      <c r="F84" s="776"/>
      <c r="G84" s="776"/>
      <c r="H84" s="776"/>
      <c r="I84" s="776"/>
      <c r="J84" s="776"/>
      <c r="K84" s="776"/>
      <c r="L84" s="776"/>
      <c r="M84" s="776"/>
      <c r="N84" s="776"/>
      <c r="O84" s="776"/>
      <c r="P84" s="776"/>
      <c r="Q84" s="776"/>
    </row>
    <row r="85" spans="1:17" s="770" customFormat="1">
      <c r="A85" s="1089">
        <v>1</v>
      </c>
      <c r="B85" s="1085" t="s">
        <v>704</v>
      </c>
      <c r="C85" s="1084" t="s">
        <v>51</v>
      </c>
      <c r="D85" s="771">
        <v>1</v>
      </c>
      <c r="E85" s="776">
        <f>NCong!K141+NCong!K150+NCong!K167+NCong!K175+NCong!K179+NCong!K183+NCong!K185+NCong!K186+NCong!K189+NCong!K190+NCong!K191+NCong!K194</f>
        <v>1035846.0089999998</v>
      </c>
      <c r="F85" s="776">
        <f t="shared" ref="F85:F90" si="99">F61</f>
        <v>105881.29999999999</v>
      </c>
      <c r="G85" s="776">
        <f>G61*0.9</f>
        <v>14487.502800000002</v>
      </c>
      <c r="H85" s="776">
        <f t="shared" ref="H85:J87" si="100">H61*0.9</f>
        <v>39578.400000000001</v>
      </c>
      <c r="I85" s="776">
        <f t="shared" si="100"/>
        <v>6923.8920214285718</v>
      </c>
      <c r="J85" s="776">
        <f t="shared" si="100"/>
        <v>12493.10223</v>
      </c>
      <c r="K85" s="776">
        <f t="shared" ref="K85:K90" si="101">SUM(E85:J85)</f>
        <v>1215210.2060514283</v>
      </c>
      <c r="L85" s="776">
        <f t="shared" si="90"/>
        <v>182281.53090771424</v>
      </c>
      <c r="M85" s="776">
        <f t="shared" ref="M85:M90" si="102">K85+L85</f>
        <v>1397491.7369591426</v>
      </c>
      <c r="N85" s="776">
        <f t="shared" ref="N85:N90" si="103">K85-I85</f>
        <v>1208286.3140299998</v>
      </c>
      <c r="O85" s="776">
        <f t="shared" si="93"/>
        <v>181242.94710449997</v>
      </c>
      <c r="P85" s="776">
        <f t="shared" ref="P85:P90" si="104">N85+O85</f>
        <v>1389529.2611344997</v>
      </c>
      <c r="Q85" s="776">
        <f>NCong!N141+NCong!N150+NCong!N167+NCong!N175+NCong!N179+NCong!N183+NCong!N185+NCong!N186+NCong!N189+NCong!N190+NCong!N191+NCong!N194</f>
        <v>30866</v>
      </c>
    </row>
    <row r="86" spans="1:17" s="770" customFormat="1">
      <c r="A86" s="1089"/>
      <c r="B86" s="1085"/>
      <c r="C86" s="1084"/>
      <c r="D86" s="771" t="s">
        <v>33</v>
      </c>
      <c r="E86" s="776">
        <f>NCong!K141+NCong!K152+NCong!K167+NCong!K175+NCong!K179+NCong!K183+NCong!K185+NCong!K186+NCong!K189+NCong!K190+NCong!K191+NCong!K194</f>
        <v>1091330.8064999999</v>
      </c>
      <c r="F86" s="776">
        <f t="shared" si="99"/>
        <v>116469.43000000001</v>
      </c>
      <c r="G86" s="776">
        <f>G62*0.9</f>
        <v>14487.502800000002</v>
      </c>
      <c r="H86" s="776">
        <f t="shared" si="100"/>
        <v>39578.400000000001</v>
      </c>
      <c r="I86" s="776">
        <f t="shared" si="100"/>
        <v>6923.8920214285718</v>
      </c>
      <c r="J86" s="776">
        <f t="shared" si="100"/>
        <v>12493.10223</v>
      </c>
      <c r="K86" s="776">
        <f t="shared" si="101"/>
        <v>1281283.1335514283</v>
      </c>
      <c r="L86" s="776">
        <f t="shared" si="90"/>
        <v>192192.47003271425</v>
      </c>
      <c r="M86" s="776">
        <f t="shared" si="102"/>
        <v>1473475.6035841426</v>
      </c>
      <c r="N86" s="776">
        <f t="shared" si="103"/>
        <v>1274359.2415299998</v>
      </c>
      <c r="O86" s="776">
        <f t="shared" si="93"/>
        <v>191153.88622949997</v>
      </c>
      <c r="P86" s="776">
        <f t="shared" si="104"/>
        <v>1465513.1277594997</v>
      </c>
      <c r="Q86" s="776">
        <f>NCong!N141+NCong!N152+NCong!N167+NCong!N175+NCong!N179+NCong!N183+NCong!N185+NCong!N186+NCong!N189+NCong!N190+NCong!N191+NCong!N194</f>
        <v>32617.538461538454</v>
      </c>
    </row>
    <row r="87" spans="1:17" s="770" customFormat="1">
      <c r="A87" s="1089"/>
      <c r="B87" s="1085"/>
      <c r="C87" s="1084"/>
      <c r="D87" s="771" t="s">
        <v>34</v>
      </c>
      <c r="E87" s="776">
        <f>NCong!K141+NCong!K154+NCong!K167+NCong!K175+NCong!K179+NCong!K183+NCong!K185+NCong!K186+NCong!K189+NCong!K190+NCong!K191+NCong!K194</f>
        <v>1152364.08375</v>
      </c>
      <c r="F87" s="776">
        <f t="shared" si="99"/>
        <v>128116.37299999999</v>
      </c>
      <c r="G87" s="776">
        <f>G63*0.9</f>
        <v>14487.502800000002</v>
      </c>
      <c r="H87" s="776">
        <f t="shared" si="100"/>
        <v>39578.400000000001</v>
      </c>
      <c r="I87" s="776">
        <f t="shared" si="100"/>
        <v>6923.8920214285718</v>
      </c>
      <c r="J87" s="776">
        <f t="shared" si="100"/>
        <v>12493.10223</v>
      </c>
      <c r="K87" s="776">
        <f t="shared" si="101"/>
        <v>1353963.3538014283</v>
      </c>
      <c r="L87" s="776">
        <f t="shared" si="90"/>
        <v>203094.50307021424</v>
      </c>
      <c r="M87" s="776">
        <f t="shared" si="102"/>
        <v>1557057.8568716426</v>
      </c>
      <c r="N87" s="776">
        <f t="shared" si="103"/>
        <v>1347039.4617799998</v>
      </c>
      <c r="O87" s="776">
        <f t="shared" si="93"/>
        <v>202055.91926699996</v>
      </c>
      <c r="P87" s="776">
        <f t="shared" si="104"/>
        <v>1549095.3810469997</v>
      </c>
      <c r="Q87" s="776">
        <f>NCong!N141+NCong!N154+NCong!N167+NCong!N175+NCong!N179+NCong!N183+NCong!N185+NCong!N186+NCong!N189+NCong!N190+NCong!N191+NCong!N194</f>
        <v>34544.230769230766</v>
      </c>
    </row>
    <row r="88" spans="1:17" s="770" customFormat="1">
      <c r="A88" s="1089">
        <v>2</v>
      </c>
      <c r="B88" s="1085" t="s">
        <v>713</v>
      </c>
      <c r="C88" s="1084" t="s">
        <v>51</v>
      </c>
      <c r="D88" s="771">
        <v>1</v>
      </c>
      <c r="E88" s="776">
        <f>NCong!M141+NCong!M150+NCong!M167+NCong!M175+NCong!M179+NCong!M183+NCong!M185+NCong!M186+NCong!M189+NCong!M190+NCong!M191+NCong!M194</f>
        <v>1642638.4260000002</v>
      </c>
      <c r="F88" s="776">
        <f t="shared" si="99"/>
        <v>137645.69</v>
      </c>
      <c r="G88" s="776">
        <f>G85*1.3</f>
        <v>18833.753640000003</v>
      </c>
      <c r="H88" s="776">
        <f>H85</f>
        <v>39578.400000000001</v>
      </c>
      <c r="I88" s="776">
        <f>I85*1.3</f>
        <v>9001.0596278571429</v>
      </c>
      <c r="J88" s="776">
        <f>J85*1.3</f>
        <v>16241.032899000002</v>
      </c>
      <c r="K88" s="776">
        <f t="shared" si="101"/>
        <v>1863938.3621668571</v>
      </c>
      <c r="L88" s="776">
        <f t="shared" si="90"/>
        <v>279590.75432502857</v>
      </c>
      <c r="M88" s="776">
        <f t="shared" si="102"/>
        <v>2143529.1164918859</v>
      </c>
      <c r="N88" s="776">
        <f t="shared" si="103"/>
        <v>1854937.3025390001</v>
      </c>
      <c r="O88" s="776">
        <f t="shared" si="93"/>
        <v>278240.59538085002</v>
      </c>
      <c r="P88" s="776">
        <f t="shared" si="104"/>
        <v>2133177.89791985</v>
      </c>
      <c r="Q88" s="776">
        <f>NCong!P141+NCong!P150+NCong!P167+NCong!P175+NCong!P179+NCong!P183+NCong!P185+NCong!P186+NCong!P189+NCong!P190+NCong!P191+NCong!P194</f>
        <v>49120.923076923071</v>
      </c>
    </row>
    <row r="89" spans="1:17" s="770" customFormat="1">
      <c r="A89" s="1089"/>
      <c r="B89" s="1085"/>
      <c r="C89" s="1084"/>
      <c r="D89" s="771" t="s">
        <v>33</v>
      </c>
      <c r="E89" s="776">
        <f>NCong!M141+NCong!M152+NCong!M167+NCong!M175+NCong!M179+NCong!M183+NCong!M185+NCong!M186+NCong!M189+NCong!M190+NCong!M191+NCong!M194</f>
        <v>1714768.6627500004</v>
      </c>
      <c r="F89" s="776">
        <f t="shared" si="99"/>
        <v>151410.25899999999</v>
      </c>
      <c r="G89" s="776">
        <f t="shared" ref="G89:G90" si="105">G86*1.3</f>
        <v>18833.753640000003</v>
      </c>
      <c r="H89" s="776">
        <f t="shared" ref="H89:H90" si="106">H86</f>
        <v>39578.400000000001</v>
      </c>
      <c r="I89" s="776">
        <f t="shared" ref="I89:J90" si="107">I86*1.3</f>
        <v>9001.0596278571429</v>
      </c>
      <c r="J89" s="776">
        <f t="shared" si="107"/>
        <v>16241.032899000002</v>
      </c>
      <c r="K89" s="776">
        <f t="shared" si="101"/>
        <v>1949833.1679168574</v>
      </c>
      <c r="L89" s="776">
        <f t="shared" si="90"/>
        <v>292474.97518752859</v>
      </c>
      <c r="M89" s="776">
        <f t="shared" si="102"/>
        <v>2242308.1431043861</v>
      </c>
      <c r="N89" s="776">
        <f t="shared" si="103"/>
        <v>1940832.1082890003</v>
      </c>
      <c r="O89" s="776">
        <f t="shared" si="93"/>
        <v>291124.81624335004</v>
      </c>
      <c r="P89" s="776">
        <f t="shared" si="104"/>
        <v>2231956.9245323502</v>
      </c>
      <c r="Q89" s="776">
        <f>NCong!P141+NCong!P152+NCong!P167+NCong!P175+NCong!P179+NCong!P183+NCong!P185+NCong!P186+NCong!P189+NCong!P190+NCong!P191+NCong!P194</f>
        <v>51397.923076923071</v>
      </c>
    </row>
    <row r="90" spans="1:17" s="770" customFormat="1">
      <c r="A90" s="1089"/>
      <c r="B90" s="1085"/>
      <c r="C90" s="1084"/>
      <c r="D90" s="771" t="s">
        <v>34</v>
      </c>
      <c r="E90" s="776">
        <f>NCong!M141+NCong!M154+NCong!M167+NCong!M175+NCong!M179+NCong!M183+NCong!M185+NCong!M186+NCong!M189+NCong!M190+NCong!M191+NCong!M194</f>
        <v>1794296.8725000003</v>
      </c>
      <c r="F90" s="776">
        <f t="shared" si="99"/>
        <v>166536.15899999999</v>
      </c>
      <c r="G90" s="776">
        <f t="shared" si="105"/>
        <v>18833.753640000003</v>
      </c>
      <c r="H90" s="776">
        <f t="shared" si="106"/>
        <v>39578.400000000001</v>
      </c>
      <c r="I90" s="776">
        <f t="shared" si="107"/>
        <v>9001.0596278571429</v>
      </c>
      <c r="J90" s="776">
        <f t="shared" si="107"/>
        <v>16241.032899000002</v>
      </c>
      <c r="K90" s="776">
        <f t="shared" si="101"/>
        <v>2044487.2776668572</v>
      </c>
      <c r="L90" s="776">
        <f t="shared" si="90"/>
        <v>306673.0916500286</v>
      </c>
      <c r="M90" s="776">
        <f t="shared" si="102"/>
        <v>2351160.3693168857</v>
      </c>
      <c r="N90" s="776">
        <f t="shared" si="103"/>
        <v>2035486.2180390002</v>
      </c>
      <c r="O90" s="776">
        <f t="shared" si="93"/>
        <v>305322.93270584999</v>
      </c>
      <c r="P90" s="776">
        <f t="shared" si="104"/>
        <v>2340809.1507448503</v>
      </c>
      <c r="Q90" s="776">
        <f>NCong!P141+NCong!P154+NCong!P167+NCong!P175+NCong!P179+NCong!P183+NCong!P185+NCong!P186+NCong!P189+NCong!P190+NCong!P191+NCong!P194</f>
        <v>53908.461538461532</v>
      </c>
    </row>
    <row r="91" spans="1:17" s="770" customFormat="1" ht="12" customHeight="1">
      <c r="A91" s="771" t="s">
        <v>21</v>
      </c>
      <c r="B91" s="774" t="s">
        <v>828</v>
      </c>
      <c r="C91" s="771"/>
      <c r="D91" s="771"/>
      <c r="E91" s="776"/>
      <c r="F91" s="776"/>
      <c r="G91" s="776"/>
      <c r="H91" s="776"/>
      <c r="I91" s="776"/>
      <c r="J91" s="776"/>
      <c r="K91" s="776"/>
      <c r="L91" s="776"/>
      <c r="M91" s="776"/>
      <c r="N91" s="776"/>
      <c r="O91" s="776"/>
      <c r="P91" s="776"/>
      <c r="Q91" s="776"/>
    </row>
    <row r="92" spans="1:17" s="770" customFormat="1" ht="12" customHeight="1">
      <c r="A92" s="771" t="s">
        <v>829</v>
      </c>
      <c r="B92" s="834" t="s">
        <v>820</v>
      </c>
      <c r="C92" s="771"/>
      <c r="D92" s="771"/>
      <c r="E92" s="776"/>
      <c r="F92" s="776"/>
      <c r="G92" s="776"/>
      <c r="H92" s="776"/>
      <c r="I92" s="776"/>
      <c r="J92" s="776"/>
      <c r="K92" s="776"/>
      <c r="L92" s="776"/>
      <c r="M92" s="776"/>
      <c r="N92" s="776"/>
      <c r="O92" s="776"/>
      <c r="P92" s="776"/>
      <c r="Q92" s="776"/>
    </row>
    <row r="93" spans="1:17" s="770" customFormat="1">
      <c r="A93" s="1084" t="s">
        <v>526</v>
      </c>
      <c r="B93" s="1086" t="s">
        <v>697</v>
      </c>
      <c r="C93" s="1084" t="s">
        <v>51</v>
      </c>
      <c r="D93" s="771">
        <v>1</v>
      </c>
      <c r="E93" s="776">
        <f>NCong!K126+NCong!K194</f>
        <v>1610003.703</v>
      </c>
      <c r="F93" s="776">
        <f>NCong!K127</f>
        <v>89242.81</v>
      </c>
      <c r="G93" s="776">
        <f>G61</f>
        <v>16097.225333333336</v>
      </c>
      <c r="H93" s="776">
        <f t="shared" ref="H93:J93" si="108">H61</f>
        <v>43976</v>
      </c>
      <c r="I93" s="776">
        <f t="shared" si="108"/>
        <v>7693.2133571428576</v>
      </c>
      <c r="J93" s="776">
        <f t="shared" si="108"/>
        <v>13881.224700000001</v>
      </c>
      <c r="K93" s="776">
        <f t="shared" ref="K93:K98" si="109">SUM(E93:J93)</f>
        <v>1780894.1763904761</v>
      </c>
      <c r="L93" s="776">
        <f t="shared" ref="L93:L98" si="110">K93*15%</f>
        <v>267134.12645857141</v>
      </c>
      <c r="M93" s="776">
        <f t="shared" ref="M93:M98" si="111">K93+L93</f>
        <v>2048028.3028490474</v>
      </c>
      <c r="N93" s="776">
        <f t="shared" ref="N93:N98" si="112">K93-I93</f>
        <v>1773200.9630333332</v>
      </c>
      <c r="O93" s="776">
        <f t="shared" ref="O93:O98" si="113">$L$6*N93</f>
        <v>265980.14445499994</v>
      </c>
      <c r="P93" s="776">
        <f t="shared" ref="P93:P98" si="114">N93+O93</f>
        <v>2039181.1074883332</v>
      </c>
      <c r="Q93" s="776">
        <f>NCong!N126+NCong!N194</f>
        <v>47739.153846153837</v>
      </c>
    </row>
    <row r="94" spans="1:17" s="770" customFormat="1">
      <c r="A94" s="1084"/>
      <c r="B94" s="1086"/>
      <c r="C94" s="1084"/>
      <c r="D94" s="771" t="s">
        <v>33</v>
      </c>
      <c r="E94" s="776">
        <f>NCong!K128+NCong!K194</f>
        <v>1671653.4779999999</v>
      </c>
      <c r="F94" s="776">
        <f>NCong!K129</f>
        <v>98318.35</v>
      </c>
      <c r="G94" s="776">
        <f t="shared" ref="G94:J95" si="115">G62</f>
        <v>16097.225333333336</v>
      </c>
      <c r="H94" s="776">
        <f t="shared" si="115"/>
        <v>43976</v>
      </c>
      <c r="I94" s="776">
        <f t="shared" si="115"/>
        <v>7693.2133571428576</v>
      </c>
      <c r="J94" s="776">
        <f t="shared" si="115"/>
        <v>13881.224700000001</v>
      </c>
      <c r="K94" s="776">
        <f t="shared" si="109"/>
        <v>1851619.491390476</v>
      </c>
      <c r="L94" s="776">
        <f t="shared" si="110"/>
        <v>277742.92370857141</v>
      </c>
      <c r="M94" s="776">
        <f t="shared" si="111"/>
        <v>2129362.4150990476</v>
      </c>
      <c r="N94" s="776">
        <f t="shared" si="112"/>
        <v>1843926.2780333331</v>
      </c>
      <c r="O94" s="776">
        <f t="shared" si="113"/>
        <v>276588.94170499995</v>
      </c>
      <c r="P94" s="776">
        <f t="shared" si="114"/>
        <v>2120515.219738333</v>
      </c>
      <c r="Q94" s="776">
        <f>NCong!N128+NCong!N194</f>
        <v>49685.307692307688</v>
      </c>
    </row>
    <row r="95" spans="1:17" s="770" customFormat="1">
      <c r="A95" s="1084"/>
      <c r="B95" s="1086"/>
      <c r="C95" s="1084"/>
      <c r="D95" s="771" t="s">
        <v>34</v>
      </c>
      <c r="E95" s="776">
        <f>NCong!K130+NCong!K194</f>
        <v>1739468.2304999998</v>
      </c>
      <c r="F95" s="776">
        <f>NCong!K131</f>
        <v>107393.89</v>
      </c>
      <c r="G95" s="776">
        <f t="shared" si="115"/>
        <v>16097.225333333336</v>
      </c>
      <c r="H95" s="776">
        <f t="shared" si="115"/>
        <v>43976</v>
      </c>
      <c r="I95" s="776">
        <f t="shared" si="115"/>
        <v>7693.2133571428576</v>
      </c>
      <c r="J95" s="776">
        <f t="shared" si="115"/>
        <v>13881.224700000001</v>
      </c>
      <c r="K95" s="776">
        <f t="shared" si="109"/>
        <v>1928509.7838904758</v>
      </c>
      <c r="L95" s="776">
        <f t="shared" si="110"/>
        <v>289276.46758357133</v>
      </c>
      <c r="M95" s="776">
        <f t="shared" si="111"/>
        <v>2217786.2514740471</v>
      </c>
      <c r="N95" s="776">
        <f t="shared" si="112"/>
        <v>1920816.5705333329</v>
      </c>
      <c r="O95" s="776">
        <f t="shared" si="113"/>
        <v>288122.48557999992</v>
      </c>
      <c r="P95" s="776">
        <f t="shared" si="114"/>
        <v>2208939.056113333</v>
      </c>
      <c r="Q95" s="776">
        <f>NCong!N130+NCong!N194</f>
        <v>51826.076923076915</v>
      </c>
    </row>
    <row r="96" spans="1:17" s="770" customFormat="1">
      <c r="A96" s="1084" t="s">
        <v>531</v>
      </c>
      <c r="B96" s="1086" t="s">
        <v>698</v>
      </c>
      <c r="C96" s="1084" t="s">
        <v>51</v>
      </c>
      <c r="D96" s="771">
        <v>1</v>
      </c>
      <c r="E96" s="776">
        <f>NCong!M126+NCong!M194</f>
        <v>2314282.08</v>
      </c>
      <c r="F96" s="776">
        <f>NCong!M127</f>
        <v>116015.65300000001</v>
      </c>
      <c r="G96" s="776">
        <f>G93*1.3</f>
        <v>20926.392933333336</v>
      </c>
      <c r="H96" s="776">
        <f>H93</f>
        <v>43976</v>
      </c>
      <c r="I96" s="776">
        <f>I93*1.3</f>
        <v>10001.177364285715</v>
      </c>
      <c r="J96" s="776">
        <f>J93*1.3</f>
        <v>18045.592110000001</v>
      </c>
      <c r="K96" s="776">
        <f t="shared" si="109"/>
        <v>2523246.895407619</v>
      </c>
      <c r="L96" s="776">
        <f t="shared" si="110"/>
        <v>378487.03431114281</v>
      </c>
      <c r="M96" s="776">
        <f t="shared" si="111"/>
        <v>2901733.9297187617</v>
      </c>
      <c r="N96" s="776">
        <f t="shared" si="112"/>
        <v>2513245.7180433334</v>
      </c>
      <c r="O96" s="776">
        <f t="shared" si="113"/>
        <v>376986.85770649998</v>
      </c>
      <c r="P96" s="776">
        <f t="shared" si="114"/>
        <v>2890232.5757498331</v>
      </c>
      <c r="Q96" s="776">
        <f>NCong!P126+NCong!P194</f>
        <v>68854.923076923049</v>
      </c>
    </row>
    <row r="97" spans="1:17" s="770" customFormat="1">
      <c r="A97" s="1084"/>
      <c r="B97" s="1086"/>
      <c r="C97" s="1084"/>
      <c r="D97" s="771" t="s">
        <v>33</v>
      </c>
      <c r="E97" s="776">
        <f>NCong!M128+NCong!M194</f>
        <v>2394426.7875000001</v>
      </c>
      <c r="F97" s="776">
        <f>NCong!M129</f>
        <v>127813.855</v>
      </c>
      <c r="G97" s="776">
        <f t="shared" ref="G97" si="116">G94*1.3</f>
        <v>20926.392933333336</v>
      </c>
      <c r="H97" s="776">
        <f t="shared" ref="H97" si="117">H94</f>
        <v>43976</v>
      </c>
      <c r="I97" s="776">
        <f t="shared" ref="I97:J97" si="118">I94*1.3</f>
        <v>10001.177364285715</v>
      </c>
      <c r="J97" s="776">
        <f t="shared" si="118"/>
        <v>18045.592110000001</v>
      </c>
      <c r="K97" s="776">
        <f t="shared" si="109"/>
        <v>2615189.804907619</v>
      </c>
      <c r="L97" s="776">
        <f t="shared" si="110"/>
        <v>392278.47073614283</v>
      </c>
      <c r="M97" s="776">
        <f t="shared" si="111"/>
        <v>3007468.2756437617</v>
      </c>
      <c r="N97" s="776">
        <f t="shared" si="112"/>
        <v>2605188.6275433335</v>
      </c>
      <c r="O97" s="776">
        <f t="shared" si="113"/>
        <v>390778.29413150001</v>
      </c>
      <c r="P97" s="776">
        <f t="shared" si="114"/>
        <v>2995966.9216748336</v>
      </c>
      <c r="Q97" s="776">
        <f>NCong!P128+NCong!P194</f>
        <v>71384.923076923049</v>
      </c>
    </row>
    <row r="98" spans="1:17" s="770" customFormat="1">
      <c r="A98" s="1084"/>
      <c r="B98" s="1086"/>
      <c r="C98" s="1084"/>
      <c r="D98" s="771" t="s">
        <v>34</v>
      </c>
      <c r="E98" s="776">
        <f>NCong!M130+NCong!M194</f>
        <v>2482585.9657500004</v>
      </c>
      <c r="F98" s="776">
        <f>NCong!M131</f>
        <v>139612.057</v>
      </c>
      <c r="G98" s="776">
        <f>G95*1.3</f>
        <v>20926.392933333336</v>
      </c>
      <c r="H98" s="776">
        <f>H95</f>
        <v>43976</v>
      </c>
      <c r="I98" s="776">
        <f>I95*1.3</f>
        <v>10001.177364285715</v>
      </c>
      <c r="J98" s="776">
        <f>J95*1.3</f>
        <v>18045.592110000001</v>
      </c>
      <c r="K98" s="776">
        <f t="shared" si="109"/>
        <v>2715147.1851576194</v>
      </c>
      <c r="L98" s="776">
        <f t="shared" si="110"/>
        <v>407272.0777736429</v>
      </c>
      <c r="M98" s="776">
        <f t="shared" si="111"/>
        <v>3122419.2629312621</v>
      </c>
      <c r="N98" s="776">
        <f t="shared" si="112"/>
        <v>2705146.0077933338</v>
      </c>
      <c r="O98" s="776">
        <f t="shared" si="113"/>
        <v>405771.90116900008</v>
      </c>
      <c r="P98" s="776">
        <f t="shared" si="114"/>
        <v>3110917.908962334</v>
      </c>
      <c r="Q98" s="776">
        <f>NCong!P130+NCong!P194</f>
        <v>74167.923076923049</v>
      </c>
    </row>
    <row r="99" spans="1:17" s="770" customFormat="1">
      <c r="A99" s="771" t="s">
        <v>832</v>
      </c>
      <c r="B99" s="834" t="s">
        <v>822</v>
      </c>
      <c r="C99" s="771"/>
      <c r="D99" s="771"/>
      <c r="E99" s="776"/>
      <c r="F99" s="776"/>
      <c r="G99" s="776"/>
      <c r="H99" s="776"/>
      <c r="I99" s="776"/>
      <c r="J99" s="776"/>
      <c r="K99" s="776"/>
      <c r="L99" s="776"/>
      <c r="M99" s="776"/>
      <c r="N99" s="776"/>
      <c r="O99" s="776"/>
      <c r="P99" s="776"/>
      <c r="Q99" s="776"/>
    </row>
    <row r="100" spans="1:17" s="825" customFormat="1">
      <c r="A100" s="1091" t="s">
        <v>526</v>
      </c>
      <c r="B100" s="1092" t="s">
        <v>697</v>
      </c>
      <c r="C100" s="1091" t="s">
        <v>51</v>
      </c>
      <c r="D100" s="823">
        <v>1</v>
      </c>
      <c r="E100" s="824">
        <f>NCong!K132+NCong!K194</f>
        <v>1537898.703</v>
      </c>
      <c r="F100" s="824">
        <f>F93</f>
        <v>89242.81</v>
      </c>
      <c r="G100" s="824">
        <f>G93</f>
        <v>16097.225333333336</v>
      </c>
      <c r="H100" s="824">
        <f t="shared" ref="H100:J100" si="119">H93</f>
        <v>43976</v>
      </c>
      <c r="I100" s="824">
        <f t="shared" si="119"/>
        <v>7693.2133571428576</v>
      </c>
      <c r="J100" s="824">
        <f t="shared" si="119"/>
        <v>13881.224700000001</v>
      </c>
      <c r="K100" s="824">
        <f t="shared" ref="K100:K105" si="120">SUM(E100:J100)</f>
        <v>1708789.1763904761</v>
      </c>
      <c r="L100" s="824">
        <f t="shared" ref="L100:L105" si="121">K100*15%</f>
        <v>256318.37645857141</v>
      </c>
      <c r="M100" s="824">
        <f t="shared" ref="M100:M105" si="122">K100+L100</f>
        <v>1965107.5528490474</v>
      </c>
      <c r="N100" s="824">
        <f t="shared" ref="N100:N105" si="123">K100-I100</f>
        <v>1701095.9630333332</v>
      </c>
      <c r="O100" s="824">
        <f t="shared" ref="O100:O105" si="124">$L$6*N100</f>
        <v>255164.39445499997</v>
      </c>
      <c r="P100" s="824">
        <f t="shared" ref="P100:P105" si="125">N100+O100</f>
        <v>1956260.3574883332</v>
      </c>
      <c r="Q100" s="824">
        <f>NCong!N132+NCong!N194</f>
        <v>45792.999999999993</v>
      </c>
    </row>
    <row r="101" spans="1:17" s="825" customFormat="1">
      <c r="A101" s="1091"/>
      <c r="B101" s="1092"/>
      <c r="C101" s="1091"/>
      <c r="D101" s="823" t="s">
        <v>33</v>
      </c>
      <c r="E101" s="824">
        <f>NCong!K134+NCong!K194</f>
        <v>1599548.4779999999</v>
      </c>
      <c r="F101" s="824">
        <f t="shared" ref="F101:J105" si="126">F94</f>
        <v>98318.35</v>
      </c>
      <c r="G101" s="824">
        <f t="shared" si="126"/>
        <v>16097.225333333336</v>
      </c>
      <c r="H101" s="824">
        <f t="shared" si="126"/>
        <v>43976</v>
      </c>
      <c r="I101" s="824">
        <f t="shared" si="126"/>
        <v>7693.2133571428576</v>
      </c>
      <c r="J101" s="824">
        <f t="shared" si="126"/>
        <v>13881.224700000001</v>
      </c>
      <c r="K101" s="824">
        <f t="shared" si="120"/>
        <v>1779514.491390476</v>
      </c>
      <c r="L101" s="824">
        <f t="shared" si="121"/>
        <v>266927.17370857141</v>
      </c>
      <c r="M101" s="824">
        <f t="shared" si="122"/>
        <v>2046441.6650990474</v>
      </c>
      <c r="N101" s="824">
        <f t="shared" si="123"/>
        <v>1771821.2780333331</v>
      </c>
      <c r="O101" s="824">
        <f t="shared" si="124"/>
        <v>265773.19170499995</v>
      </c>
      <c r="P101" s="824">
        <f t="shared" si="125"/>
        <v>2037594.469738333</v>
      </c>
      <c r="Q101" s="824">
        <f>NCong!N134+NCong!N194</f>
        <v>47739.153846153844</v>
      </c>
    </row>
    <row r="102" spans="1:17" s="825" customFormat="1">
      <c r="A102" s="1091"/>
      <c r="B102" s="1092"/>
      <c r="C102" s="1091"/>
      <c r="D102" s="823" t="s">
        <v>34</v>
      </c>
      <c r="E102" s="824">
        <f>NCong!K136+NCong!K194</f>
        <v>1667363.2304999998</v>
      </c>
      <c r="F102" s="824">
        <f t="shared" si="126"/>
        <v>107393.89</v>
      </c>
      <c r="G102" s="824">
        <f t="shared" si="126"/>
        <v>16097.225333333336</v>
      </c>
      <c r="H102" s="824">
        <f t="shared" si="126"/>
        <v>43976</v>
      </c>
      <c r="I102" s="824">
        <f t="shared" si="126"/>
        <v>7693.2133571428576</v>
      </c>
      <c r="J102" s="824">
        <f t="shared" si="126"/>
        <v>13881.224700000001</v>
      </c>
      <c r="K102" s="824">
        <f t="shared" si="120"/>
        <v>1856404.7838904758</v>
      </c>
      <c r="L102" s="824">
        <f t="shared" si="121"/>
        <v>278460.71758357133</v>
      </c>
      <c r="M102" s="824">
        <f t="shared" si="122"/>
        <v>2134865.5014740471</v>
      </c>
      <c r="N102" s="824">
        <f t="shared" si="123"/>
        <v>1848711.5705333329</v>
      </c>
      <c r="O102" s="824">
        <f t="shared" si="124"/>
        <v>277306.73557999992</v>
      </c>
      <c r="P102" s="824">
        <f t="shared" si="125"/>
        <v>2126018.306113333</v>
      </c>
      <c r="Q102" s="824">
        <f>NCong!N136+NCong!N194</f>
        <v>49879.923076923071</v>
      </c>
    </row>
    <row r="103" spans="1:17" s="825" customFormat="1">
      <c r="A103" s="1091" t="s">
        <v>531</v>
      </c>
      <c r="B103" s="1092" t="s">
        <v>698</v>
      </c>
      <c r="C103" s="1091" t="s">
        <v>51</v>
      </c>
      <c r="D103" s="823">
        <v>1</v>
      </c>
      <c r="E103" s="824">
        <f>NCong!M132+NCong!M194</f>
        <v>2242177.08</v>
      </c>
      <c r="F103" s="824">
        <f>F96</f>
        <v>116015.65300000001</v>
      </c>
      <c r="G103" s="824">
        <f>G96</f>
        <v>20926.392933333336</v>
      </c>
      <c r="H103" s="824">
        <f t="shared" si="126"/>
        <v>43976</v>
      </c>
      <c r="I103" s="824">
        <f t="shared" si="126"/>
        <v>10001.177364285715</v>
      </c>
      <c r="J103" s="824">
        <f t="shared" si="126"/>
        <v>18045.592110000001</v>
      </c>
      <c r="K103" s="824">
        <f t="shared" si="120"/>
        <v>2451141.895407619</v>
      </c>
      <c r="L103" s="824">
        <f t="shared" si="121"/>
        <v>367671.28431114281</v>
      </c>
      <c r="M103" s="824">
        <f t="shared" si="122"/>
        <v>2818813.1797187617</v>
      </c>
      <c r="N103" s="824">
        <f t="shared" si="123"/>
        <v>2441140.7180433334</v>
      </c>
      <c r="O103" s="824">
        <f t="shared" si="124"/>
        <v>366171.10770649998</v>
      </c>
      <c r="P103" s="824">
        <f t="shared" si="125"/>
        <v>2807311.8257498331</v>
      </c>
      <c r="Q103" s="824">
        <f>NCong!P132+NCong!P194</f>
        <v>66908.76923076922</v>
      </c>
    </row>
    <row r="104" spans="1:17" s="825" customFormat="1">
      <c r="A104" s="1091"/>
      <c r="B104" s="1092"/>
      <c r="C104" s="1091"/>
      <c r="D104" s="823" t="s">
        <v>33</v>
      </c>
      <c r="E104" s="824">
        <f>NCong!M134+NCong!M194</f>
        <v>2322321.7875000001</v>
      </c>
      <c r="F104" s="824">
        <f t="shared" ref="F104:G105" si="127">F97</f>
        <v>127813.855</v>
      </c>
      <c r="G104" s="824">
        <f t="shared" si="127"/>
        <v>20926.392933333336</v>
      </c>
      <c r="H104" s="824">
        <f t="shared" si="126"/>
        <v>43976</v>
      </c>
      <c r="I104" s="824">
        <f t="shared" si="126"/>
        <v>10001.177364285715</v>
      </c>
      <c r="J104" s="824">
        <f t="shared" si="126"/>
        <v>18045.592110000001</v>
      </c>
      <c r="K104" s="824">
        <f t="shared" si="120"/>
        <v>2543084.804907619</v>
      </c>
      <c r="L104" s="824">
        <f t="shared" si="121"/>
        <v>381462.72073614283</v>
      </c>
      <c r="M104" s="824">
        <f t="shared" si="122"/>
        <v>2924547.5256437617</v>
      </c>
      <c r="N104" s="824">
        <f t="shared" si="123"/>
        <v>2533083.6275433335</v>
      </c>
      <c r="O104" s="824">
        <f t="shared" si="124"/>
        <v>379962.54413150001</v>
      </c>
      <c r="P104" s="824">
        <f t="shared" si="125"/>
        <v>2913046.1716748336</v>
      </c>
      <c r="Q104" s="824">
        <f>NCong!P134+NCong!P194</f>
        <v>69438.76923076919</v>
      </c>
    </row>
    <row r="105" spans="1:17" s="825" customFormat="1">
      <c r="A105" s="1091"/>
      <c r="B105" s="1092"/>
      <c r="C105" s="1091"/>
      <c r="D105" s="823" t="s">
        <v>34</v>
      </c>
      <c r="E105" s="824">
        <f>NCong!M136+NCong!M194</f>
        <v>2410480.96575</v>
      </c>
      <c r="F105" s="824">
        <f t="shared" si="127"/>
        <v>139612.057</v>
      </c>
      <c r="G105" s="824">
        <f t="shared" si="127"/>
        <v>20926.392933333336</v>
      </c>
      <c r="H105" s="824">
        <f t="shared" si="126"/>
        <v>43976</v>
      </c>
      <c r="I105" s="824">
        <f t="shared" si="126"/>
        <v>10001.177364285715</v>
      </c>
      <c r="J105" s="824">
        <f t="shared" si="126"/>
        <v>18045.592110000001</v>
      </c>
      <c r="K105" s="824">
        <f t="shared" si="120"/>
        <v>2643042.185157619</v>
      </c>
      <c r="L105" s="824">
        <f t="shared" si="121"/>
        <v>396456.32777364284</v>
      </c>
      <c r="M105" s="824">
        <f t="shared" si="122"/>
        <v>3039498.5129312617</v>
      </c>
      <c r="N105" s="824">
        <f t="shared" si="123"/>
        <v>2633041.0077933334</v>
      </c>
      <c r="O105" s="824">
        <f t="shared" si="124"/>
        <v>394956.15116900002</v>
      </c>
      <c r="P105" s="824">
        <f t="shared" si="125"/>
        <v>3027997.1589623336</v>
      </c>
      <c r="Q105" s="824">
        <f>NCong!P136+NCong!P194</f>
        <v>72221.769230769205</v>
      </c>
    </row>
    <row r="106" spans="1:17" s="780" customFormat="1" hidden="1">
      <c r="A106" s="1087" t="str">
        <f>NCong!A114</f>
        <v>II.1</v>
      </c>
      <c r="B106" s="1088" t="str">
        <f>NCong!B114</f>
        <v>CÁC NỘI DUNG THỰC HIỆN TẠI ĐỊA BÀN CẤP XÃ, PHƯỜNG ĐỐI VỚI HỘ GIA ĐÌNH CÁ NHÂN (CÓ CHUẨN BỊ HỢP ĐỒNG THUÊ ĐẤT)</v>
      </c>
      <c r="C106" s="1087" t="s">
        <v>51</v>
      </c>
      <c r="D106" s="777">
        <v>1</v>
      </c>
      <c r="E106" s="779">
        <f>NCong!K114</f>
        <v>1458222.6780000001</v>
      </c>
      <c r="F106" s="779">
        <f>NCong!K115</f>
        <v>105881.29999999999</v>
      </c>
      <c r="G106" s="779">
        <f>Dcu!K$86</f>
        <v>16097.225333333336</v>
      </c>
      <c r="H106" s="779">
        <f>VLieu!I$49</f>
        <v>43976</v>
      </c>
      <c r="I106" s="779">
        <f>Tbi!$I$38</f>
        <v>7693.2133571428576</v>
      </c>
      <c r="J106" s="779">
        <f>Tbi!$I$45</f>
        <v>13881.224700000001</v>
      </c>
      <c r="K106" s="779">
        <f t="shared" si="67"/>
        <v>1645751.6413904761</v>
      </c>
      <c r="L106" s="779">
        <f t="shared" si="68"/>
        <v>246862.74620857142</v>
      </c>
      <c r="M106" s="779">
        <f>K106+L106</f>
        <v>1892614.3875990475</v>
      </c>
      <c r="N106" s="779"/>
      <c r="O106" s="779"/>
      <c r="P106" s="779"/>
      <c r="Q106" s="779">
        <f>NCong!N114</f>
        <v>43360.307692307688</v>
      </c>
    </row>
    <row r="107" spans="1:17" s="780" customFormat="1" hidden="1">
      <c r="A107" s="1087"/>
      <c r="B107" s="1088"/>
      <c r="C107" s="1087"/>
      <c r="D107" s="777" t="s">
        <v>33</v>
      </c>
      <c r="E107" s="779">
        <f>NCong!K116</f>
        <v>1513707.4754999999</v>
      </c>
      <c r="F107" s="779">
        <f>NCong!K117</f>
        <v>116469.43000000001</v>
      </c>
      <c r="G107" s="779">
        <f>Dcu!K$86</f>
        <v>16097.225333333336</v>
      </c>
      <c r="H107" s="779">
        <f>VLieu!I$49</f>
        <v>43976</v>
      </c>
      <c r="I107" s="779">
        <f>Tbi!$I$38</f>
        <v>7693.2133571428576</v>
      </c>
      <c r="J107" s="779">
        <f>Tbi!$I$45</f>
        <v>13881.224700000001</v>
      </c>
      <c r="K107" s="779">
        <f t="shared" si="67"/>
        <v>1711824.5688904759</v>
      </c>
      <c r="L107" s="779">
        <f t="shared" si="68"/>
        <v>256773.68533357137</v>
      </c>
      <c r="M107" s="779">
        <f>K107+L107</f>
        <v>1968598.2542240473</v>
      </c>
      <c r="N107" s="779"/>
      <c r="O107" s="779"/>
      <c r="P107" s="779"/>
      <c r="Q107" s="779">
        <f>NCong!N116</f>
        <v>45111.846153846149</v>
      </c>
    </row>
    <row r="108" spans="1:17" s="780" customFormat="1" hidden="1">
      <c r="A108" s="1087"/>
      <c r="B108" s="1088"/>
      <c r="C108" s="1087"/>
      <c r="D108" s="777" t="s">
        <v>34</v>
      </c>
      <c r="E108" s="779">
        <f>NCong!K118</f>
        <v>1574740.75275</v>
      </c>
      <c r="F108" s="779">
        <f>NCong!K119</f>
        <v>128116.37299999999</v>
      </c>
      <c r="G108" s="779">
        <f>Dcu!K$86</f>
        <v>16097.225333333336</v>
      </c>
      <c r="H108" s="779">
        <f>VLieu!I$49</f>
        <v>43976</v>
      </c>
      <c r="I108" s="779">
        <f>Tbi!$I$38</f>
        <v>7693.2133571428576</v>
      </c>
      <c r="J108" s="779">
        <f>Tbi!$I$45</f>
        <v>13881.224700000001</v>
      </c>
      <c r="K108" s="779">
        <f t="shared" si="67"/>
        <v>1784504.7891404759</v>
      </c>
      <c r="L108" s="779">
        <f t="shared" si="68"/>
        <v>267675.71837107139</v>
      </c>
      <c r="M108" s="779">
        <f>K108+L108</f>
        <v>2052180.5075115473</v>
      </c>
      <c r="N108" s="779"/>
      <c r="O108" s="779"/>
      <c r="P108" s="779"/>
      <c r="Q108" s="779">
        <f>NCong!N118</f>
        <v>47038.538461538454</v>
      </c>
    </row>
    <row r="109" spans="1:17" s="780" customFormat="1" hidden="1">
      <c r="A109" s="777" t="str">
        <f>NCong!A194</f>
        <v>II.2</v>
      </c>
      <c r="B109" s="781" t="str">
        <f>NCong!B194</f>
        <v>CÁC NỘI DUNG THỰC HIỆN TẠI ĐỊA BÀN CẤP TỈNH</v>
      </c>
      <c r="C109" s="777"/>
      <c r="D109" s="777"/>
      <c r="E109" s="779">
        <f>NCong!K194</f>
        <v>72105</v>
      </c>
      <c r="F109" s="779"/>
      <c r="G109" s="779"/>
      <c r="H109" s="779"/>
      <c r="I109" s="779"/>
      <c r="J109" s="779"/>
      <c r="K109" s="779">
        <f t="shared" si="67"/>
        <v>72105</v>
      </c>
      <c r="L109" s="779">
        <f t="shared" si="68"/>
        <v>10815.75</v>
      </c>
      <c r="M109" s="779">
        <f>K109+L109</f>
        <v>82920.75</v>
      </c>
      <c r="N109" s="779"/>
      <c r="O109" s="779"/>
      <c r="P109" s="779"/>
      <c r="Q109" s="779">
        <f>NCong!N194</f>
        <v>1946.1538461538462</v>
      </c>
    </row>
    <row r="110" spans="1:17" s="780" customFormat="1" ht="13.5" customHeight="1">
      <c r="A110" s="771" t="s">
        <v>108</v>
      </c>
      <c r="B110" s="1098" t="str">
        <f>NCong!B204</f>
        <v>Đăng ký, cấp Giấy chứng nhận lần đầu đối với tổ chức, tổ chức tôn giáo, tổ chức tôn giáo trực thuộc đang sử dụng đất</v>
      </c>
      <c r="C110" s="1099"/>
      <c r="D110" s="1099"/>
      <c r="E110" s="1099"/>
      <c r="F110" s="1099"/>
      <c r="G110" s="1099"/>
      <c r="H110" s="1099"/>
      <c r="I110" s="1099"/>
      <c r="J110" s="1099"/>
      <c r="K110" s="1099"/>
      <c r="L110" s="1099"/>
      <c r="M110" s="1099"/>
      <c r="N110" s="1099"/>
      <c r="O110" s="1099"/>
      <c r="P110" s="1099"/>
      <c r="Q110" s="779"/>
    </row>
    <row r="111" spans="1:17" s="780" customFormat="1" ht="13.5" customHeight="1">
      <c r="A111" s="771" t="s">
        <v>19</v>
      </c>
      <c r="B111" s="834" t="s">
        <v>820</v>
      </c>
      <c r="C111" s="775"/>
      <c r="D111" s="775"/>
      <c r="E111" s="775"/>
      <c r="F111" s="775"/>
      <c r="G111" s="775"/>
      <c r="H111" s="775"/>
      <c r="I111" s="775"/>
      <c r="J111" s="775"/>
      <c r="K111" s="775"/>
      <c r="L111" s="775"/>
      <c r="M111" s="775"/>
      <c r="N111" s="775"/>
      <c r="O111" s="775"/>
      <c r="P111" s="775"/>
      <c r="Q111" s="779"/>
    </row>
    <row r="112" spans="1:17" s="770" customFormat="1">
      <c r="A112" s="1084" t="s">
        <v>124</v>
      </c>
      <c r="B112" s="1090" t="s">
        <v>697</v>
      </c>
      <c r="C112" s="1084" t="s">
        <v>51</v>
      </c>
      <c r="D112" s="771">
        <v>1</v>
      </c>
      <c r="E112" s="776">
        <f t="shared" ref="E112:J114" si="128">E139+E$145</f>
        <v>2606087.4097499996</v>
      </c>
      <c r="F112" s="776">
        <f t="shared" si="128"/>
        <v>89242.81</v>
      </c>
      <c r="G112" s="776">
        <f t="shared" si="128"/>
        <v>16242.580480769229</v>
      </c>
      <c r="H112" s="776">
        <f t="shared" si="128"/>
        <v>36012</v>
      </c>
      <c r="I112" s="776">
        <f t="shared" si="128"/>
        <v>17864.5785</v>
      </c>
      <c r="J112" s="776">
        <f t="shared" si="128"/>
        <v>40483.148999999998</v>
      </c>
      <c r="K112" s="776">
        <f t="shared" ref="K112:K131" si="129">SUM(E112:J112)</f>
        <v>2805932.527730769</v>
      </c>
      <c r="L112" s="776">
        <f t="shared" ref="L112:L145" si="130">K112*15%</f>
        <v>420889.87915961532</v>
      </c>
      <c r="M112" s="776">
        <f t="shared" ref="M112:M131" si="131">K112+L112</f>
        <v>3226822.4068903844</v>
      </c>
      <c r="N112" s="776">
        <f t="shared" ref="N112:N131" si="132">K112-I112</f>
        <v>2788067.9492307692</v>
      </c>
      <c r="O112" s="776">
        <f t="shared" ref="O112:O138" si="133">$L$6*N112</f>
        <v>418210.19238461537</v>
      </c>
      <c r="P112" s="776">
        <f t="shared" ref="P112:P131" si="134">N112+O112</f>
        <v>3206278.1416153847</v>
      </c>
      <c r="Q112" s="776">
        <f>Q139+Q$145</f>
        <v>74051.153846153844</v>
      </c>
    </row>
    <row r="113" spans="1:17" s="770" customFormat="1">
      <c r="A113" s="1084"/>
      <c r="B113" s="1090"/>
      <c r="C113" s="1084"/>
      <c r="D113" s="771" t="s">
        <v>33</v>
      </c>
      <c r="E113" s="776">
        <f t="shared" si="128"/>
        <v>2667737.1847499995</v>
      </c>
      <c r="F113" s="776">
        <f t="shared" si="128"/>
        <v>98318.35</v>
      </c>
      <c r="G113" s="776">
        <f t="shared" si="128"/>
        <v>16242.580480769229</v>
      </c>
      <c r="H113" s="776">
        <f t="shared" si="128"/>
        <v>36012</v>
      </c>
      <c r="I113" s="776">
        <f t="shared" si="128"/>
        <v>17864.5785</v>
      </c>
      <c r="J113" s="776">
        <f t="shared" si="128"/>
        <v>40483.148999999998</v>
      </c>
      <c r="K113" s="776">
        <f t="shared" si="129"/>
        <v>2876657.842730769</v>
      </c>
      <c r="L113" s="776">
        <f t="shared" si="130"/>
        <v>431498.67640961532</v>
      </c>
      <c r="M113" s="776">
        <f t="shared" si="131"/>
        <v>3308156.5191403842</v>
      </c>
      <c r="N113" s="776">
        <f t="shared" si="132"/>
        <v>2858793.2642307691</v>
      </c>
      <c r="O113" s="776">
        <f t="shared" si="133"/>
        <v>428818.98963461537</v>
      </c>
      <c r="P113" s="776">
        <f t="shared" si="134"/>
        <v>3287612.2538653845</v>
      </c>
      <c r="Q113" s="776">
        <f>Q140+Q$145</f>
        <v>75997.307692307688</v>
      </c>
    </row>
    <row r="114" spans="1:17" s="770" customFormat="1">
      <c r="A114" s="1084"/>
      <c r="B114" s="1090"/>
      <c r="C114" s="1084"/>
      <c r="D114" s="771" t="s">
        <v>34</v>
      </c>
      <c r="E114" s="776">
        <f t="shared" si="128"/>
        <v>2735551.9372499995</v>
      </c>
      <c r="F114" s="776">
        <f t="shared" si="128"/>
        <v>107393.89</v>
      </c>
      <c r="G114" s="776">
        <f t="shared" si="128"/>
        <v>16242.580480769229</v>
      </c>
      <c r="H114" s="776">
        <f t="shared" si="128"/>
        <v>36012</v>
      </c>
      <c r="I114" s="776">
        <f t="shared" si="128"/>
        <v>17864.5785</v>
      </c>
      <c r="J114" s="776">
        <f t="shared" si="128"/>
        <v>40483.148999999998</v>
      </c>
      <c r="K114" s="776">
        <f t="shared" si="129"/>
        <v>2953548.1352307689</v>
      </c>
      <c r="L114" s="776">
        <f t="shared" si="130"/>
        <v>443032.22028461535</v>
      </c>
      <c r="M114" s="776">
        <f t="shared" si="131"/>
        <v>3396580.3555153841</v>
      </c>
      <c r="N114" s="776">
        <f t="shared" si="132"/>
        <v>2935683.5567307691</v>
      </c>
      <c r="O114" s="776">
        <f t="shared" si="133"/>
        <v>440352.53350961534</v>
      </c>
      <c r="P114" s="776">
        <f t="shared" si="134"/>
        <v>3376036.0902403845</v>
      </c>
      <c r="Q114" s="776">
        <f>Q141+Q$145</f>
        <v>78138.076923076922</v>
      </c>
    </row>
    <row r="115" spans="1:17" s="770" customFormat="1">
      <c r="A115" s="1084" t="s">
        <v>125</v>
      </c>
      <c r="B115" s="1090" t="s">
        <v>715</v>
      </c>
      <c r="C115" s="1084" t="s">
        <v>51</v>
      </c>
      <c r="D115" s="771">
        <v>1</v>
      </c>
      <c r="E115" s="776">
        <f>NCong!M205+NCong!M229</f>
        <v>3343469.1922500003</v>
      </c>
      <c r="F115" s="776">
        <f>NCong!M206</f>
        <v>116015.65300000001</v>
      </c>
      <c r="G115" s="776">
        <f>G112*1.3</f>
        <v>21115.354625</v>
      </c>
      <c r="H115" s="776">
        <f>H112</f>
        <v>36012</v>
      </c>
      <c r="I115" s="776">
        <f>I112*1.6</f>
        <v>28583.3256</v>
      </c>
      <c r="J115" s="776">
        <f>J112*1.6</f>
        <v>64773.038399999998</v>
      </c>
      <c r="K115" s="776">
        <f t="shared" si="129"/>
        <v>3609968.5638750005</v>
      </c>
      <c r="L115" s="776">
        <f t="shared" si="130"/>
        <v>541495.28458125005</v>
      </c>
      <c r="M115" s="776">
        <f t="shared" si="131"/>
        <v>4151463.8484562505</v>
      </c>
      <c r="N115" s="776">
        <f t="shared" si="132"/>
        <v>3581385.2382750004</v>
      </c>
      <c r="O115" s="776">
        <f t="shared" si="133"/>
        <v>537207.78574125003</v>
      </c>
      <c r="P115" s="776">
        <f t="shared" si="134"/>
        <v>4118593.0240162504</v>
      </c>
      <c r="Q115" s="776">
        <f>NCong!P205+NCong!$P$229</f>
        <v>94982.038461538454</v>
      </c>
    </row>
    <row r="116" spans="1:17" s="770" customFormat="1">
      <c r="A116" s="1084"/>
      <c r="B116" s="1090"/>
      <c r="C116" s="1084"/>
      <c r="D116" s="771" t="s">
        <v>33</v>
      </c>
      <c r="E116" s="776">
        <f>NCong!M207+NCong!M229</f>
        <v>3423613.8997499999</v>
      </c>
      <c r="F116" s="776">
        <f>NCong!M208</f>
        <v>127813.855</v>
      </c>
      <c r="G116" s="776">
        <f t="shared" ref="G116:G117" si="135">G113*1.3</f>
        <v>21115.354625</v>
      </c>
      <c r="H116" s="776">
        <f t="shared" ref="H116:H117" si="136">H113</f>
        <v>36012</v>
      </c>
      <c r="I116" s="776">
        <f t="shared" ref="I116:J117" si="137">I113*1.6</f>
        <v>28583.3256</v>
      </c>
      <c r="J116" s="776">
        <f t="shared" si="137"/>
        <v>64773.038399999998</v>
      </c>
      <c r="K116" s="776">
        <f t="shared" si="129"/>
        <v>3701911.4733750001</v>
      </c>
      <c r="L116" s="776">
        <f t="shared" si="130"/>
        <v>555286.72100625001</v>
      </c>
      <c r="M116" s="776">
        <f t="shared" si="131"/>
        <v>4257198.1943812501</v>
      </c>
      <c r="N116" s="776">
        <f t="shared" si="132"/>
        <v>3673328.147775</v>
      </c>
      <c r="O116" s="776">
        <f t="shared" si="133"/>
        <v>550999.22216624999</v>
      </c>
      <c r="P116" s="776">
        <f t="shared" si="134"/>
        <v>4224327.3699412495</v>
      </c>
      <c r="Q116" s="776">
        <f>NCong!P207+NCong!$P$229</f>
        <v>97512.038461538439</v>
      </c>
    </row>
    <row r="117" spans="1:17" s="770" customFormat="1">
      <c r="A117" s="1084"/>
      <c r="B117" s="1090"/>
      <c r="C117" s="1084"/>
      <c r="D117" s="771" t="s">
        <v>34</v>
      </c>
      <c r="E117" s="776">
        <f>NCong!M209+NCong!M229</f>
        <v>3511773.0779999997</v>
      </c>
      <c r="F117" s="776">
        <f>NCong!M210</f>
        <v>139612.057</v>
      </c>
      <c r="G117" s="776">
        <f t="shared" si="135"/>
        <v>21115.354625</v>
      </c>
      <c r="H117" s="776">
        <f t="shared" si="136"/>
        <v>36012</v>
      </c>
      <c r="I117" s="776">
        <f t="shared" si="137"/>
        <v>28583.3256</v>
      </c>
      <c r="J117" s="776">
        <f t="shared" si="137"/>
        <v>64773.038399999998</v>
      </c>
      <c r="K117" s="776">
        <f t="shared" si="129"/>
        <v>3801868.853625</v>
      </c>
      <c r="L117" s="776">
        <f t="shared" si="130"/>
        <v>570280.32804375002</v>
      </c>
      <c r="M117" s="776">
        <f t="shared" si="131"/>
        <v>4372149.18166875</v>
      </c>
      <c r="N117" s="776">
        <f t="shared" si="132"/>
        <v>3773285.5280249999</v>
      </c>
      <c r="O117" s="776">
        <f t="shared" si="133"/>
        <v>565992.82920375001</v>
      </c>
      <c r="P117" s="776">
        <f t="shared" si="134"/>
        <v>4339278.3572287504</v>
      </c>
      <c r="Q117" s="776">
        <f>NCong!P209+NCong!$P$229</f>
        <v>100295.03846153845</v>
      </c>
    </row>
    <row r="118" spans="1:17" s="770" customFormat="1">
      <c r="A118" s="771" t="s">
        <v>21</v>
      </c>
      <c r="B118" s="834" t="s">
        <v>833</v>
      </c>
      <c r="C118" s="771"/>
      <c r="D118" s="771"/>
      <c r="E118" s="776"/>
      <c r="F118" s="776"/>
      <c r="G118" s="776"/>
      <c r="H118" s="776"/>
      <c r="I118" s="776"/>
      <c r="J118" s="776"/>
      <c r="K118" s="776"/>
      <c r="L118" s="776"/>
      <c r="M118" s="776"/>
      <c r="N118" s="776"/>
      <c r="O118" s="776"/>
      <c r="P118" s="776"/>
      <c r="Q118" s="776"/>
    </row>
    <row r="119" spans="1:17" s="825" customFormat="1">
      <c r="A119" s="1091" t="s">
        <v>124</v>
      </c>
      <c r="B119" s="1105" t="s">
        <v>697</v>
      </c>
      <c r="C119" s="1091" t="s">
        <v>51</v>
      </c>
      <c r="D119" s="823">
        <v>1</v>
      </c>
      <c r="E119" s="824">
        <f>NCong!K205+NCong!K230</f>
        <v>2533982.4097499996</v>
      </c>
      <c r="F119" s="824">
        <f>NCong!K206</f>
        <v>89242.81</v>
      </c>
      <c r="G119" s="824">
        <f>G112</f>
        <v>16242.580480769229</v>
      </c>
      <c r="H119" s="824">
        <f t="shared" ref="H119:J119" si="138">H112</f>
        <v>36012</v>
      </c>
      <c r="I119" s="824">
        <f t="shared" si="138"/>
        <v>17864.5785</v>
      </c>
      <c r="J119" s="824">
        <f t="shared" si="138"/>
        <v>40483.148999999998</v>
      </c>
      <c r="K119" s="824">
        <f t="shared" ref="K119:K124" si="139">SUM(E119:J119)</f>
        <v>2733827.527730769</v>
      </c>
      <c r="L119" s="824">
        <f t="shared" ref="L119:L124" si="140">K119*15%</f>
        <v>410074.12915961532</v>
      </c>
      <c r="M119" s="824">
        <f t="shared" ref="M119:M124" si="141">K119+L119</f>
        <v>3143901.6568903844</v>
      </c>
      <c r="N119" s="824">
        <f t="shared" ref="N119:N124" si="142">K119-I119</f>
        <v>2715962.9492307692</v>
      </c>
      <c r="O119" s="824">
        <f t="shared" ref="O119:O124" si="143">$L$6*N119</f>
        <v>407394.44238461537</v>
      </c>
      <c r="P119" s="824">
        <f t="shared" ref="P119:P124" si="144">N119+O119</f>
        <v>3123357.3916153847</v>
      </c>
      <c r="Q119" s="824">
        <f>NCong!N205+NCong!N230</f>
        <v>72105</v>
      </c>
    </row>
    <row r="120" spans="1:17" s="825" customFormat="1">
      <c r="A120" s="1091"/>
      <c r="B120" s="1105"/>
      <c r="C120" s="1091"/>
      <c r="D120" s="823" t="s">
        <v>33</v>
      </c>
      <c r="E120" s="824">
        <f>NCong!K207+NCong!K230</f>
        <v>2595632.1847499995</v>
      </c>
      <c r="F120" s="824">
        <f>NCong!L208</f>
        <v>98318.35</v>
      </c>
      <c r="G120" s="824">
        <f t="shared" ref="G120:J122" si="145">G113</f>
        <v>16242.580480769229</v>
      </c>
      <c r="H120" s="824">
        <f t="shared" si="145"/>
        <v>36012</v>
      </c>
      <c r="I120" s="824">
        <f t="shared" si="145"/>
        <v>17864.5785</v>
      </c>
      <c r="J120" s="824">
        <f t="shared" si="145"/>
        <v>40483.148999999998</v>
      </c>
      <c r="K120" s="824">
        <f t="shared" si="139"/>
        <v>2804552.842730769</v>
      </c>
      <c r="L120" s="824">
        <f t="shared" si="140"/>
        <v>420682.92640961532</v>
      </c>
      <c r="M120" s="824">
        <f t="shared" si="141"/>
        <v>3225235.7691403842</v>
      </c>
      <c r="N120" s="824">
        <f t="shared" si="142"/>
        <v>2786688.2642307691</v>
      </c>
      <c r="O120" s="824">
        <f t="shared" si="143"/>
        <v>418003.23963461537</v>
      </c>
      <c r="P120" s="824">
        <f t="shared" si="144"/>
        <v>3204691.5038653845</v>
      </c>
      <c r="Q120" s="824">
        <f>NCong!N207+NCong!N230</f>
        <v>74051.153846153844</v>
      </c>
    </row>
    <row r="121" spans="1:17" s="825" customFormat="1">
      <c r="A121" s="1091"/>
      <c r="B121" s="1105"/>
      <c r="C121" s="1091"/>
      <c r="D121" s="823" t="s">
        <v>34</v>
      </c>
      <c r="E121" s="824">
        <f>NCong!K209+NCong!K230</f>
        <v>2663446.9372499995</v>
      </c>
      <c r="F121" s="824">
        <f>NCong!K210</f>
        <v>107393.89</v>
      </c>
      <c r="G121" s="824">
        <f t="shared" si="145"/>
        <v>16242.580480769229</v>
      </c>
      <c r="H121" s="824">
        <f t="shared" si="145"/>
        <v>36012</v>
      </c>
      <c r="I121" s="824">
        <f t="shared" si="145"/>
        <v>17864.5785</v>
      </c>
      <c r="J121" s="824">
        <f t="shared" si="145"/>
        <v>40483.148999999998</v>
      </c>
      <c r="K121" s="824">
        <f t="shared" si="139"/>
        <v>2881443.1352307689</v>
      </c>
      <c r="L121" s="824">
        <f t="shared" si="140"/>
        <v>432216.47028461535</v>
      </c>
      <c r="M121" s="824">
        <f t="shared" si="141"/>
        <v>3313659.6055153841</v>
      </c>
      <c r="N121" s="824">
        <f t="shared" si="142"/>
        <v>2863578.5567307691</v>
      </c>
      <c r="O121" s="824">
        <f t="shared" si="143"/>
        <v>429536.78350961534</v>
      </c>
      <c r="P121" s="824">
        <f t="shared" si="144"/>
        <v>3293115.3402403845</v>
      </c>
      <c r="Q121" s="824">
        <f>NCong!N209+NCong!N230</f>
        <v>76191.923076923063</v>
      </c>
    </row>
    <row r="122" spans="1:17" s="825" customFormat="1">
      <c r="A122" s="1091" t="s">
        <v>125</v>
      </c>
      <c r="B122" s="1105" t="s">
        <v>715</v>
      </c>
      <c r="C122" s="1091" t="s">
        <v>51</v>
      </c>
      <c r="D122" s="823">
        <v>1</v>
      </c>
      <c r="E122" s="824">
        <f>NCong!M205+NCong!M230</f>
        <v>3271364.1922500003</v>
      </c>
      <c r="F122" s="824">
        <f>F115</f>
        <v>116015.65300000001</v>
      </c>
      <c r="G122" s="824">
        <f t="shared" si="145"/>
        <v>21115.354625</v>
      </c>
      <c r="H122" s="824">
        <f t="shared" si="145"/>
        <v>36012</v>
      </c>
      <c r="I122" s="824">
        <f t="shared" si="145"/>
        <v>28583.3256</v>
      </c>
      <c r="J122" s="824">
        <f t="shared" si="145"/>
        <v>64773.038399999998</v>
      </c>
      <c r="K122" s="824">
        <f t="shared" si="139"/>
        <v>3537863.5638750005</v>
      </c>
      <c r="L122" s="824">
        <f t="shared" si="140"/>
        <v>530679.53458125005</v>
      </c>
      <c r="M122" s="824">
        <f t="shared" si="141"/>
        <v>4068543.0984562505</v>
      </c>
      <c r="N122" s="824">
        <f t="shared" si="142"/>
        <v>3509280.2382750004</v>
      </c>
      <c r="O122" s="824">
        <f t="shared" si="143"/>
        <v>526392.03574125003</v>
      </c>
      <c r="P122" s="824">
        <f t="shared" si="144"/>
        <v>4035672.2740162504</v>
      </c>
      <c r="Q122" s="824">
        <f>NCong!P205+NCong!P230</f>
        <v>93035.88461538461</v>
      </c>
    </row>
    <row r="123" spans="1:17" s="825" customFormat="1">
      <c r="A123" s="1091"/>
      <c r="B123" s="1105"/>
      <c r="C123" s="1091"/>
      <c r="D123" s="823" t="s">
        <v>33</v>
      </c>
      <c r="E123" s="824">
        <f>NCong!M207+NCong!M230</f>
        <v>3351508.8997499999</v>
      </c>
      <c r="F123" s="824">
        <f t="shared" ref="F123:J124" si="146">F116</f>
        <v>127813.855</v>
      </c>
      <c r="G123" s="824">
        <f t="shared" si="146"/>
        <v>21115.354625</v>
      </c>
      <c r="H123" s="824">
        <f t="shared" si="146"/>
        <v>36012</v>
      </c>
      <c r="I123" s="824">
        <f t="shared" si="146"/>
        <v>28583.3256</v>
      </c>
      <c r="J123" s="824">
        <f t="shared" si="146"/>
        <v>64773.038399999998</v>
      </c>
      <c r="K123" s="824">
        <f t="shared" si="139"/>
        <v>3629806.4733750001</v>
      </c>
      <c r="L123" s="824">
        <f t="shared" si="140"/>
        <v>544470.97100625001</v>
      </c>
      <c r="M123" s="824">
        <f t="shared" si="141"/>
        <v>4174277.4443812501</v>
      </c>
      <c r="N123" s="824">
        <f t="shared" si="142"/>
        <v>3601223.147775</v>
      </c>
      <c r="O123" s="824">
        <f t="shared" si="143"/>
        <v>540183.47216624999</v>
      </c>
      <c r="P123" s="824">
        <f t="shared" si="144"/>
        <v>4141406.61994125</v>
      </c>
      <c r="Q123" s="824">
        <f>NCong!P207+NCong!P230</f>
        <v>95565.884615384595</v>
      </c>
    </row>
    <row r="124" spans="1:17" s="825" customFormat="1">
      <c r="A124" s="1091"/>
      <c r="B124" s="1105"/>
      <c r="C124" s="1091"/>
      <c r="D124" s="823" t="s">
        <v>34</v>
      </c>
      <c r="E124" s="824">
        <f>NCong!M209+NCong!M230</f>
        <v>3439668.0779999997</v>
      </c>
      <c r="F124" s="824">
        <f t="shared" si="146"/>
        <v>139612.057</v>
      </c>
      <c r="G124" s="824">
        <f t="shared" si="146"/>
        <v>21115.354625</v>
      </c>
      <c r="H124" s="824">
        <f t="shared" si="146"/>
        <v>36012</v>
      </c>
      <c r="I124" s="824">
        <f t="shared" si="146"/>
        <v>28583.3256</v>
      </c>
      <c r="J124" s="824">
        <f t="shared" si="146"/>
        <v>64773.038399999998</v>
      </c>
      <c r="K124" s="824">
        <f t="shared" si="139"/>
        <v>3729763.853625</v>
      </c>
      <c r="L124" s="824">
        <f t="shared" si="140"/>
        <v>559464.57804375002</v>
      </c>
      <c r="M124" s="824">
        <f t="shared" si="141"/>
        <v>4289228.43166875</v>
      </c>
      <c r="N124" s="824">
        <f t="shared" si="142"/>
        <v>3701180.5280249999</v>
      </c>
      <c r="O124" s="824">
        <f t="shared" si="143"/>
        <v>555177.07920375001</v>
      </c>
      <c r="P124" s="824">
        <f t="shared" si="144"/>
        <v>4256357.6072287504</v>
      </c>
      <c r="Q124" s="824">
        <f>NCong!P209+NCong!P230</f>
        <v>98348.88461538461</v>
      </c>
    </row>
    <row r="125" spans="1:17" s="770" customFormat="1" ht="14">
      <c r="A125" s="771" t="s">
        <v>126</v>
      </c>
      <c r="B125" s="784" t="s">
        <v>716</v>
      </c>
      <c r="C125" s="771"/>
      <c r="D125" s="771"/>
      <c r="E125" s="776"/>
      <c r="F125" s="776"/>
      <c r="G125" s="776"/>
      <c r="H125" s="776"/>
      <c r="I125" s="776"/>
      <c r="J125" s="776"/>
      <c r="K125" s="776"/>
      <c r="L125" s="776"/>
      <c r="M125" s="776"/>
      <c r="N125" s="776"/>
      <c r="O125" s="776"/>
      <c r="P125" s="776"/>
      <c r="Q125" s="776"/>
    </row>
    <row r="126" spans="1:17" s="770" customFormat="1">
      <c r="A126" s="1089">
        <v>1</v>
      </c>
      <c r="B126" s="1085" t="s">
        <v>697</v>
      </c>
      <c r="C126" s="1084" t="s">
        <v>51</v>
      </c>
      <c r="D126" s="771">
        <v>1</v>
      </c>
      <c r="E126" s="776">
        <f>NCong!K213+NCong!K214+NCong!K215+NCong!K218+NCong!K219+NCong!K220+NCong!K226+NCong!K227+NCong!K251+NCong!K252</f>
        <v>1027445.7764999999</v>
      </c>
      <c r="F126" s="776">
        <f>F112</f>
        <v>89242.81</v>
      </c>
      <c r="G126" s="776">
        <f>G112*0.5</f>
        <v>8121.2902403846147</v>
      </c>
      <c r="H126" s="776">
        <f t="shared" ref="H126:J128" si="147">H112*0.5</f>
        <v>18006</v>
      </c>
      <c r="I126" s="776">
        <f t="shared" si="147"/>
        <v>8932.2892499999998</v>
      </c>
      <c r="J126" s="776">
        <f t="shared" si="147"/>
        <v>20241.574499999999</v>
      </c>
      <c r="K126" s="776">
        <f t="shared" si="129"/>
        <v>1171989.7404903846</v>
      </c>
      <c r="L126" s="776">
        <f t="shared" si="130"/>
        <v>175798.4610735577</v>
      </c>
      <c r="M126" s="776">
        <f t="shared" si="131"/>
        <v>1347788.2015639422</v>
      </c>
      <c r="N126" s="776">
        <f t="shared" si="132"/>
        <v>1163057.4512403847</v>
      </c>
      <c r="O126" s="776">
        <f t="shared" si="133"/>
        <v>174458.6176860577</v>
      </c>
      <c r="P126" s="776">
        <f t="shared" si="134"/>
        <v>1337516.0689264424</v>
      </c>
      <c r="Q126" s="776">
        <f>NCong!N213+NCong!N214+NCong!N215+NCong!N218+NCong!N219+NCong!N220+NCong!N226+NCong!N227+NCong!N251+NCong!N252</f>
        <v>31809.884615384617</v>
      </c>
    </row>
    <row r="127" spans="1:17" s="770" customFormat="1">
      <c r="A127" s="1089"/>
      <c r="B127" s="1085"/>
      <c r="C127" s="1084"/>
      <c r="D127" s="771" t="s">
        <v>33</v>
      </c>
      <c r="E127" s="776">
        <f>NCong!K213+NCong!K214+NCong!K215+NCong!K218+NCong!K219+NCong!K222+NCong!K226+NCong!K227+NCong!K251+NCong!K252</f>
        <v>1089095.5515000001</v>
      </c>
      <c r="F127" s="776">
        <f>F113</f>
        <v>98318.35</v>
      </c>
      <c r="G127" s="776">
        <f>G113*0.5</f>
        <v>8121.2902403846147</v>
      </c>
      <c r="H127" s="776">
        <f t="shared" si="147"/>
        <v>18006</v>
      </c>
      <c r="I127" s="776">
        <f t="shared" si="147"/>
        <v>8932.2892499999998</v>
      </c>
      <c r="J127" s="776">
        <f t="shared" si="147"/>
        <v>20241.574499999999</v>
      </c>
      <c r="K127" s="776">
        <f t="shared" si="129"/>
        <v>1242715.0554903848</v>
      </c>
      <c r="L127" s="776">
        <f t="shared" si="130"/>
        <v>186407.2583235577</v>
      </c>
      <c r="M127" s="776">
        <f t="shared" si="131"/>
        <v>1429122.3138139425</v>
      </c>
      <c r="N127" s="776">
        <f t="shared" si="132"/>
        <v>1233782.7662403849</v>
      </c>
      <c r="O127" s="776">
        <f t="shared" si="133"/>
        <v>185067.41493605773</v>
      </c>
      <c r="P127" s="776">
        <f t="shared" si="134"/>
        <v>1418850.1811764427</v>
      </c>
      <c r="Q127" s="776">
        <f>NCong!N213+NCong!N214+NCong!N215+NCong!N218+NCong!N219+NCong!N222+NCong!N226+NCong!N227+NCong!N251+NCong!N252</f>
        <v>33756.038461538461</v>
      </c>
    </row>
    <row r="128" spans="1:17" s="770" customFormat="1">
      <c r="A128" s="1089"/>
      <c r="B128" s="1085"/>
      <c r="C128" s="1084"/>
      <c r="D128" s="771" t="s">
        <v>34</v>
      </c>
      <c r="E128" s="776">
        <f>NCong!K213+NCong!K214+NCong!K215+NCong!K218+NCong!K219+NCong!K224+NCong!K226+NCong!K227+NCong!K251+NCong!K252</f>
        <v>1156910.304</v>
      </c>
      <c r="F128" s="776">
        <f>F114</f>
        <v>107393.89</v>
      </c>
      <c r="G128" s="776">
        <f>G114*0.5</f>
        <v>8121.2902403846147</v>
      </c>
      <c r="H128" s="776">
        <f t="shared" si="147"/>
        <v>18006</v>
      </c>
      <c r="I128" s="776">
        <f t="shared" si="147"/>
        <v>8932.2892499999998</v>
      </c>
      <c r="J128" s="776">
        <f t="shared" si="147"/>
        <v>20241.574499999999</v>
      </c>
      <c r="K128" s="776">
        <f t="shared" si="129"/>
        <v>1319605.3479903846</v>
      </c>
      <c r="L128" s="776">
        <f t="shared" si="130"/>
        <v>197940.80219855768</v>
      </c>
      <c r="M128" s="776">
        <f t="shared" si="131"/>
        <v>1517546.1501889422</v>
      </c>
      <c r="N128" s="776">
        <f t="shared" si="132"/>
        <v>1310673.0587403846</v>
      </c>
      <c r="O128" s="776">
        <f t="shared" si="133"/>
        <v>196600.9588110577</v>
      </c>
      <c r="P128" s="776">
        <f t="shared" si="134"/>
        <v>1507274.0175514424</v>
      </c>
      <c r="Q128" s="776">
        <f>NCong!N213+NCong!N214+NCong!N215+NCong!N218+NCong!N219+NCong!N224+NCong!N226+NCong!N227+NCong!N251+NCong!N252</f>
        <v>35896.807692307688</v>
      </c>
    </row>
    <row r="129" spans="1:17" s="770" customFormat="1">
      <c r="A129" s="1089">
        <v>2</v>
      </c>
      <c r="B129" s="1085" t="s">
        <v>715</v>
      </c>
      <c r="C129" s="1084" t="s">
        <v>51</v>
      </c>
      <c r="D129" s="771">
        <v>1</v>
      </c>
      <c r="E129" s="776">
        <f>NCong!M213+NCong!M214+NCong!M215+NCong!M218+NCong!M219+NCong!M220+NCong!M226+NCong!M227+NCong!M251+NCong!M252</f>
        <v>1334339.0775000004</v>
      </c>
      <c r="F129" s="776">
        <f>NCong!M206</f>
        <v>116015.65300000001</v>
      </c>
      <c r="G129" s="776">
        <f>G126*1.3</f>
        <v>10557.6773125</v>
      </c>
      <c r="H129" s="776">
        <f>H126</f>
        <v>18006</v>
      </c>
      <c r="I129" s="776">
        <f>I126*1.3</f>
        <v>11611.976025</v>
      </c>
      <c r="J129" s="776">
        <f>J126*1.3</f>
        <v>26314.046849999999</v>
      </c>
      <c r="K129" s="776">
        <f t="shared" si="129"/>
        <v>1516844.4306875004</v>
      </c>
      <c r="L129" s="776">
        <f t="shared" si="130"/>
        <v>227526.66460312504</v>
      </c>
      <c r="M129" s="776">
        <f t="shared" si="131"/>
        <v>1744371.0952906255</v>
      </c>
      <c r="N129" s="776">
        <f t="shared" si="132"/>
        <v>1505232.4546625004</v>
      </c>
      <c r="O129" s="776">
        <f t="shared" si="133"/>
        <v>225784.86819937505</v>
      </c>
      <c r="P129" s="776">
        <f t="shared" si="134"/>
        <v>1731017.3228618754</v>
      </c>
      <c r="Q129" s="776">
        <f>NCong!P213+NCong!P214+NCong!P215+NCong!P218+NCong!P219+NCong!P220+NCong!P226+NCong!P227+NCong!P251+NCong!P252</f>
        <v>41277.923076923078</v>
      </c>
    </row>
    <row r="130" spans="1:17" s="770" customFormat="1">
      <c r="A130" s="1089"/>
      <c r="B130" s="1085"/>
      <c r="C130" s="1084"/>
      <c r="D130" s="771" t="s">
        <v>33</v>
      </c>
      <c r="E130" s="776">
        <f>NCong!M213+NCong!M214+NCong!M215+NCong!M218+NCong!M219+NCong!M222+NCong!M226+NCong!M227+NCong!M251+NCong!M252</f>
        <v>1414483.7850000001</v>
      </c>
      <c r="F130" s="776">
        <f>NCong!M208</f>
        <v>127813.855</v>
      </c>
      <c r="G130" s="776">
        <f t="shared" ref="G130:G131" si="148">G127*1.3</f>
        <v>10557.6773125</v>
      </c>
      <c r="H130" s="776">
        <f t="shared" ref="H130:H131" si="149">H127</f>
        <v>18006</v>
      </c>
      <c r="I130" s="776">
        <f t="shared" ref="I130:J131" si="150">I127*1.3</f>
        <v>11611.976025</v>
      </c>
      <c r="J130" s="776">
        <f t="shared" si="150"/>
        <v>26314.046849999999</v>
      </c>
      <c r="K130" s="776">
        <f t="shared" si="129"/>
        <v>1608787.3401875002</v>
      </c>
      <c r="L130" s="776">
        <f t="shared" si="130"/>
        <v>241318.10102812503</v>
      </c>
      <c r="M130" s="776">
        <f t="shared" si="131"/>
        <v>1850105.4412156253</v>
      </c>
      <c r="N130" s="776">
        <f t="shared" si="132"/>
        <v>1597175.3641625002</v>
      </c>
      <c r="O130" s="776">
        <f t="shared" si="133"/>
        <v>239576.30462437501</v>
      </c>
      <c r="P130" s="776">
        <f t="shared" si="134"/>
        <v>1836751.6687868752</v>
      </c>
      <c r="Q130" s="776">
        <f>NCong!P213+NCong!P214+NCong!P215+NCong!P218+NCong!P219+NCong!P222+NCong!P226+NCong!P227+NCong!P251+NCong!P252</f>
        <v>43807.923076923071</v>
      </c>
    </row>
    <row r="131" spans="1:17" s="770" customFormat="1">
      <c r="A131" s="1089"/>
      <c r="B131" s="1085"/>
      <c r="C131" s="1084"/>
      <c r="D131" s="771" t="s">
        <v>34</v>
      </c>
      <c r="E131" s="776">
        <f>NCong!M213+NCong!M214+NCong!M215+NCong!M218+NCong!M219+NCong!M224+NCong!M226+NCong!M227+NCong!M251+NCong!M252</f>
        <v>1502642.9632500003</v>
      </c>
      <c r="F131" s="776">
        <f>NCong!M210</f>
        <v>139612.057</v>
      </c>
      <c r="G131" s="776">
        <f t="shared" si="148"/>
        <v>10557.6773125</v>
      </c>
      <c r="H131" s="776">
        <f t="shared" si="149"/>
        <v>18006</v>
      </c>
      <c r="I131" s="776">
        <f t="shared" si="150"/>
        <v>11611.976025</v>
      </c>
      <c r="J131" s="776">
        <f t="shared" si="150"/>
        <v>26314.046849999999</v>
      </c>
      <c r="K131" s="776">
        <f t="shared" si="129"/>
        <v>1708744.7204375004</v>
      </c>
      <c r="L131" s="776">
        <f t="shared" si="130"/>
        <v>256311.70806562505</v>
      </c>
      <c r="M131" s="776">
        <f t="shared" si="131"/>
        <v>1965056.4285031254</v>
      </c>
      <c r="N131" s="776">
        <f t="shared" si="132"/>
        <v>1697132.7444125004</v>
      </c>
      <c r="O131" s="776">
        <f t="shared" si="133"/>
        <v>254569.91166187506</v>
      </c>
      <c r="P131" s="776">
        <f t="shared" si="134"/>
        <v>1951702.6560743754</v>
      </c>
      <c r="Q131" s="776">
        <f>NCong!P213+NCong!P214+NCong!P215+NCong!P218+NCong!P219+NCong!P224+NCong!P226+NCong!P227+NCong!P251+NCong!P252</f>
        <v>46590.923076923078</v>
      </c>
    </row>
    <row r="132" spans="1:17" s="770" customFormat="1">
      <c r="A132" s="771" t="s">
        <v>717</v>
      </c>
      <c r="B132" s="784" t="s">
        <v>718</v>
      </c>
      <c r="C132" s="771"/>
      <c r="D132" s="771"/>
      <c r="E132" s="776"/>
      <c r="F132" s="776"/>
      <c r="G132" s="776"/>
      <c r="H132" s="776"/>
      <c r="I132" s="776"/>
      <c r="J132" s="776"/>
      <c r="K132" s="776"/>
      <c r="L132" s="776"/>
      <c r="M132" s="776"/>
      <c r="N132" s="776"/>
      <c r="O132" s="776"/>
      <c r="P132" s="776"/>
      <c r="Q132" s="776"/>
    </row>
    <row r="133" spans="1:17" s="770" customFormat="1">
      <c r="A133" s="1089">
        <v>1</v>
      </c>
      <c r="B133" s="1085" t="s">
        <v>697</v>
      </c>
      <c r="C133" s="1084" t="s">
        <v>51</v>
      </c>
      <c r="D133" s="771">
        <v>1</v>
      </c>
      <c r="E133" s="776">
        <f>NCong!K213+NCong!K214+NCong!K215+NCong!K218+NCong!K219+NCong!K251+NCong!K252</f>
        <v>378861.3015</v>
      </c>
      <c r="F133" s="776"/>
      <c r="G133" s="776">
        <f>G126</f>
        <v>8121.2902403846147</v>
      </c>
      <c r="H133" s="776">
        <f t="shared" ref="H133:J133" si="151">H126</f>
        <v>18006</v>
      </c>
      <c r="I133" s="776">
        <f t="shared" si="151"/>
        <v>8932.2892499999998</v>
      </c>
      <c r="J133" s="776">
        <f t="shared" si="151"/>
        <v>20241.574499999999</v>
      </c>
      <c r="K133" s="776">
        <f t="shared" ref="K133:K145" si="152">SUM(E133:J133)</f>
        <v>434162.4554903846</v>
      </c>
      <c r="L133" s="776">
        <f t="shared" si="130"/>
        <v>65124.36832355769</v>
      </c>
      <c r="M133" s="776">
        <f t="shared" ref="M133:M145" si="153">K133+L133</f>
        <v>499286.82381394226</v>
      </c>
      <c r="N133" s="776">
        <f t="shared" ref="N133:N138" si="154">K133-I133</f>
        <v>425230.16624038463</v>
      </c>
      <c r="O133" s="776">
        <f t="shared" si="133"/>
        <v>63784.524936057693</v>
      </c>
      <c r="P133" s="776">
        <f t="shared" ref="P133:P138" si="155">N133+O133</f>
        <v>489014.69117644231</v>
      </c>
      <c r="Q133" s="776">
        <f>NCong!N213+NCong!N214+NCong!N215+NCong!N218+NCong!N219+NCong!N251+NCong!N252</f>
        <v>11375.26923076923</v>
      </c>
    </row>
    <row r="134" spans="1:17" s="770" customFormat="1">
      <c r="A134" s="1089"/>
      <c r="B134" s="1085"/>
      <c r="C134" s="1084"/>
      <c r="D134" s="771" t="s">
        <v>33</v>
      </c>
      <c r="E134" s="776">
        <f>E133</f>
        <v>378861.3015</v>
      </c>
      <c r="F134" s="776"/>
      <c r="G134" s="776">
        <f t="shared" ref="G134:J136" si="156">G127</f>
        <v>8121.2902403846147</v>
      </c>
      <c r="H134" s="776">
        <f t="shared" si="156"/>
        <v>18006</v>
      </c>
      <c r="I134" s="776">
        <f t="shared" si="156"/>
        <v>8932.2892499999998</v>
      </c>
      <c r="J134" s="776">
        <f t="shared" si="156"/>
        <v>20241.574499999999</v>
      </c>
      <c r="K134" s="776">
        <f t="shared" si="152"/>
        <v>434162.4554903846</v>
      </c>
      <c r="L134" s="776">
        <f t="shared" si="130"/>
        <v>65124.36832355769</v>
      </c>
      <c r="M134" s="776">
        <f t="shared" si="153"/>
        <v>499286.82381394226</v>
      </c>
      <c r="N134" s="776">
        <f t="shared" si="154"/>
        <v>425230.16624038463</v>
      </c>
      <c r="O134" s="776">
        <f t="shared" si="133"/>
        <v>63784.524936057693</v>
      </c>
      <c r="P134" s="776">
        <f t="shared" si="155"/>
        <v>489014.69117644231</v>
      </c>
      <c r="Q134" s="776">
        <f>Q133</f>
        <v>11375.26923076923</v>
      </c>
    </row>
    <row r="135" spans="1:17" s="770" customFormat="1">
      <c r="A135" s="1089"/>
      <c r="B135" s="1085"/>
      <c r="C135" s="1084"/>
      <c r="D135" s="771" t="s">
        <v>34</v>
      </c>
      <c r="E135" s="776">
        <f>E133</f>
        <v>378861.3015</v>
      </c>
      <c r="F135" s="776"/>
      <c r="G135" s="776">
        <f t="shared" si="156"/>
        <v>8121.2902403846147</v>
      </c>
      <c r="H135" s="776">
        <f t="shared" si="156"/>
        <v>18006</v>
      </c>
      <c r="I135" s="776">
        <f t="shared" si="156"/>
        <v>8932.2892499999998</v>
      </c>
      <c r="J135" s="776">
        <f t="shared" si="156"/>
        <v>20241.574499999999</v>
      </c>
      <c r="K135" s="776">
        <f t="shared" si="152"/>
        <v>434162.4554903846</v>
      </c>
      <c r="L135" s="776">
        <f t="shared" si="130"/>
        <v>65124.36832355769</v>
      </c>
      <c r="M135" s="776">
        <f t="shared" si="153"/>
        <v>499286.82381394226</v>
      </c>
      <c r="N135" s="776">
        <f t="shared" si="154"/>
        <v>425230.16624038463</v>
      </c>
      <c r="O135" s="776">
        <f t="shared" si="133"/>
        <v>63784.524936057693</v>
      </c>
      <c r="P135" s="776">
        <f t="shared" si="155"/>
        <v>489014.69117644231</v>
      </c>
      <c r="Q135" s="776">
        <f>Q133</f>
        <v>11375.26923076923</v>
      </c>
    </row>
    <row r="136" spans="1:17" s="770" customFormat="1">
      <c r="A136" s="1089">
        <v>2</v>
      </c>
      <c r="B136" s="1085" t="s">
        <v>715</v>
      </c>
      <c r="C136" s="1084" t="s">
        <v>51</v>
      </c>
      <c r="D136" s="771">
        <v>1</v>
      </c>
      <c r="E136" s="776">
        <f>NCong!M213+NCong!M214+NCong!M215+NCong!M218+NCong!M219+NCong!M251+NCong!M252</f>
        <v>500805.27749999991</v>
      </c>
      <c r="F136" s="776"/>
      <c r="G136" s="776">
        <f>G129</f>
        <v>10557.6773125</v>
      </c>
      <c r="H136" s="776">
        <f t="shared" si="156"/>
        <v>18006</v>
      </c>
      <c r="I136" s="776">
        <f t="shared" si="156"/>
        <v>11611.976025</v>
      </c>
      <c r="J136" s="776">
        <f t="shared" si="156"/>
        <v>26314.046849999999</v>
      </c>
      <c r="K136" s="776">
        <f t="shared" si="152"/>
        <v>567294.97768749995</v>
      </c>
      <c r="L136" s="776">
        <f t="shared" si="130"/>
        <v>85094.246653124996</v>
      </c>
      <c r="M136" s="776">
        <f t="shared" si="153"/>
        <v>652389.22434062499</v>
      </c>
      <c r="N136" s="776">
        <f t="shared" si="154"/>
        <v>555683.00166249997</v>
      </c>
      <c r="O136" s="776">
        <f t="shared" si="133"/>
        <v>83352.45024937499</v>
      </c>
      <c r="P136" s="776">
        <f t="shared" si="155"/>
        <v>639035.45191187493</v>
      </c>
      <c r="Q136" s="776">
        <f>NCong!P213+NCong!P214+NCong!P215+NCong!P218+NCong!P219+NCong!P251+NCong!P252</f>
        <v>15004.846153846152</v>
      </c>
    </row>
    <row r="137" spans="1:17" s="770" customFormat="1">
      <c r="A137" s="1089"/>
      <c r="B137" s="1085"/>
      <c r="C137" s="1084"/>
      <c r="D137" s="771" t="s">
        <v>33</v>
      </c>
      <c r="E137" s="776">
        <f>E136</f>
        <v>500805.27749999991</v>
      </c>
      <c r="F137" s="776"/>
      <c r="G137" s="776">
        <f t="shared" ref="G137:J138" si="157">G130</f>
        <v>10557.6773125</v>
      </c>
      <c r="H137" s="776">
        <f t="shared" si="157"/>
        <v>18006</v>
      </c>
      <c r="I137" s="776">
        <f t="shared" si="157"/>
        <v>11611.976025</v>
      </c>
      <c r="J137" s="776">
        <f t="shared" si="157"/>
        <v>26314.046849999999</v>
      </c>
      <c r="K137" s="776">
        <f t="shared" si="152"/>
        <v>567294.97768749995</v>
      </c>
      <c r="L137" s="776">
        <f t="shared" si="130"/>
        <v>85094.246653124996</v>
      </c>
      <c r="M137" s="776">
        <f t="shared" si="153"/>
        <v>652389.22434062499</v>
      </c>
      <c r="N137" s="776">
        <f t="shared" si="154"/>
        <v>555683.00166249997</v>
      </c>
      <c r="O137" s="776">
        <f t="shared" si="133"/>
        <v>83352.45024937499</v>
      </c>
      <c r="P137" s="776">
        <f t="shared" si="155"/>
        <v>639035.45191187493</v>
      </c>
      <c r="Q137" s="776">
        <f>Q136</f>
        <v>15004.846153846152</v>
      </c>
    </row>
    <row r="138" spans="1:17" s="770" customFormat="1">
      <c r="A138" s="1089"/>
      <c r="B138" s="1085"/>
      <c r="C138" s="1084"/>
      <c r="D138" s="771" t="s">
        <v>34</v>
      </c>
      <c r="E138" s="776">
        <f>E137</f>
        <v>500805.27749999991</v>
      </c>
      <c r="F138" s="776"/>
      <c r="G138" s="776">
        <f t="shared" si="157"/>
        <v>10557.6773125</v>
      </c>
      <c r="H138" s="776">
        <f t="shared" si="157"/>
        <v>18006</v>
      </c>
      <c r="I138" s="776">
        <f t="shared" si="157"/>
        <v>11611.976025</v>
      </c>
      <c r="J138" s="776">
        <f t="shared" si="157"/>
        <v>26314.046849999999</v>
      </c>
      <c r="K138" s="776">
        <f t="shared" si="152"/>
        <v>567294.97768749995</v>
      </c>
      <c r="L138" s="776">
        <f t="shared" si="130"/>
        <v>85094.246653124996</v>
      </c>
      <c r="M138" s="776">
        <f t="shared" si="153"/>
        <v>652389.22434062499</v>
      </c>
      <c r="N138" s="776">
        <f t="shared" si="154"/>
        <v>555683.00166249997</v>
      </c>
      <c r="O138" s="776">
        <f t="shared" si="133"/>
        <v>83352.45024937499</v>
      </c>
      <c r="P138" s="776">
        <f t="shared" si="155"/>
        <v>639035.45191187493</v>
      </c>
      <c r="Q138" s="776">
        <f>Q137</f>
        <v>15004.846153846152</v>
      </c>
    </row>
    <row r="139" spans="1:17" s="780" customFormat="1" hidden="1">
      <c r="A139" s="1087" t="str">
        <f>NCong!A205</f>
        <v>III.1</v>
      </c>
      <c r="B139" s="1088" t="str">
        <f>NCong!B205</f>
        <v>CÁC NỘI DUNG THỰC HIỆN TẠI ĐỊA BÀN XÃ, PHƯỜNG, ĐẶC KHU</v>
      </c>
      <c r="C139" s="1087" t="s">
        <v>51</v>
      </c>
      <c r="D139" s="777">
        <f>NCong!F205</f>
        <v>1</v>
      </c>
      <c r="E139" s="779">
        <f>NCong!K205-E$143</f>
        <v>899098.87650000001</v>
      </c>
      <c r="F139" s="779">
        <f>NCong!K206</f>
        <v>89242.81</v>
      </c>
      <c r="G139" s="779">
        <f>Dcu!L$101</f>
        <v>16242.580480769229</v>
      </c>
      <c r="H139" s="779">
        <f>VLieu!J$69</f>
        <v>36012</v>
      </c>
      <c r="I139" s="779">
        <f>Tbi!I$59</f>
        <v>17864.5785</v>
      </c>
      <c r="J139" s="779">
        <f>Tbi!I$66+Dcu!L$100</f>
        <v>40483.148999999998</v>
      </c>
      <c r="K139" s="779">
        <f t="shared" si="152"/>
        <v>1098943.9944807694</v>
      </c>
      <c r="L139" s="779">
        <f t="shared" si="130"/>
        <v>164841.59917211541</v>
      </c>
      <c r="M139" s="779">
        <f t="shared" si="153"/>
        <v>1263785.5936528847</v>
      </c>
      <c r="N139" s="779"/>
      <c r="O139" s="779"/>
      <c r="P139" s="779"/>
      <c r="Q139" s="779">
        <f>NCong!N205-Q$143</f>
        <v>27917.576923076922</v>
      </c>
    </row>
    <row r="140" spans="1:17" s="780" customFormat="1" hidden="1">
      <c r="A140" s="1087"/>
      <c r="B140" s="1088"/>
      <c r="C140" s="1087"/>
      <c r="D140" s="777">
        <f>NCong!F207</f>
        <v>2</v>
      </c>
      <c r="E140" s="779">
        <f>NCong!K207-E$143</f>
        <v>960748.65150000004</v>
      </c>
      <c r="F140" s="779">
        <f>NCong!K208</f>
        <v>98318.35</v>
      </c>
      <c r="G140" s="779">
        <f>Dcu!L$101</f>
        <v>16242.580480769229</v>
      </c>
      <c r="H140" s="779">
        <f>VLieu!J$69</f>
        <v>36012</v>
      </c>
      <c r="I140" s="779">
        <f>Tbi!I$59</f>
        <v>17864.5785</v>
      </c>
      <c r="J140" s="779">
        <f>Tbi!I$66+Dcu!L$100</f>
        <v>40483.148999999998</v>
      </c>
      <c r="K140" s="779">
        <f t="shared" si="152"/>
        <v>1169669.3094807693</v>
      </c>
      <c r="L140" s="779">
        <f t="shared" si="130"/>
        <v>175450.39642211539</v>
      </c>
      <c r="M140" s="779">
        <f t="shared" si="153"/>
        <v>1345119.7059028847</v>
      </c>
      <c r="N140" s="779"/>
      <c r="O140" s="779"/>
      <c r="P140" s="779"/>
      <c r="Q140" s="779">
        <f>NCong!N207-Q$143</f>
        <v>29863.73076923077</v>
      </c>
    </row>
    <row r="141" spans="1:17" s="780" customFormat="1" hidden="1">
      <c r="A141" s="1087"/>
      <c r="B141" s="1088"/>
      <c r="C141" s="1087"/>
      <c r="D141" s="777">
        <f>NCong!F209</f>
        <v>3</v>
      </c>
      <c r="E141" s="779">
        <f>NCong!K209-E$143</f>
        <v>1028563.404</v>
      </c>
      <c r="F141" s="779">
        <f>NCong!K210</f>
        <v>107393.89</v>
      </c>
      <c r="G141" s="779">
        <f>Dcu!L$101</f>
        <v>16242.580480769229</v>
      </c>
      <c r="H141" s="779">
        <f>VLieu!J$69</f>
        <v>36012</v>
      </c>
      <c r="I141" s="779">
        <f>Tbi!I$59</f>
        <v>17864.5785</v>
      </c>
      <c r="J141" s="779">
        <f>Tbi!I$66+Dcu!L$100</f>
        <v>40483.148999999998</v>
      </c>
      <c r="K141" s="779">
        <f t="shared" si="152"/>
        <v>1246559.6019807693</v>
      </c>
      <c r="L141" s="779">
        <f t="shared" si="130"/>
        <v>186983.94029711539</v>
      </c>
      <c r="M141" s="779">
        <f t="shared" si="153"/>
        <v>1433543.5422778847</v>
      </c>
      <c r="N141" s="779"/>
      <c r="O141" s="779"/>
      <c r="P141" s="779"/>
      <c r="Q141" s="779">
        <f>NCong!N209-Q$143</f>
        <v>32004.499999999996</v>
      </c>
    </row>
    <row r="142" spans="1:17" hidden="1">
      <c r="A142" s="785"/>
      <c r="B142" s="787"/>
      <c r="C142" s="785"/>
      <c r="D142" s="785"/>
      <c r="E142" s="788">
        <v>0</v>
      </c>
      <c r="F142" s="788"/>
      <c r="G142" s="788"/>
      <c r="H142" s="788"/>
      <c r="I142" s="788"/>
      <c r="J142" s="788"/>
      <c r="K142" s="788">
        <f t="shared" si="152"/>
        <v>0</v>
      </c>
      <c r="L142" s="788">
        <f t="shared" si="130"/>
        <v>0</v>
      </c>
      <c r="M142" s="788">
        <f t="shared" si="153"/>
        <v>0</v>
      </c>
      <c r="N142" s="788"/>
      <c r="O142" s="788"/>
      <c r="P142" s="788"/>
      <c r="Q142" s="788"/>
    </row>
    <row r="143" spans="1:17" s="793" customFormat="1" hidden="1">
      <c r="A143" s="789"/>
      <c r="B143" s="790"/>
      <c r="C143" s="789"/>
      <c r="D143" s="791" t="s">
        <v>31</v>
      </c>
      <c r="E143" s="792">
        <v>0</v>
      </c>
      <c r="F143" s="792"/>
      <c r="G143" s="792"/>
      <c r="H143" s="792"/>
      <c r="I143" s="792"/>
      <c r="J143" s="792"/>
      <c r="K143" s="792">
        <f t="shared" si="152"/>
        <v>0</v>
      </c>
      <c r="L143" s="792">
        <f t="shared" si="130"/>
        <v>0</v>
      </c>
      <c r="M143" s="792">
        <f t="shared" si="153"/>
        <v>0</v>
      </c>
      <c r="N143" s="792"/>
      <c r="O143" s="792"/>
      <c r="P143" s="792"/>
      <c r="Q143" s="792"/>
    </row>
    <row r="144" spans="1:17" s="793" customFormat="1" hidden="1">
      <c r="A144" s="789"/>
      <c r="B144" s="790"/>
      <c r="C144" s="789"/>
      <c r="D144" s="791" t="s">
        <v>31</v>
      </c>
      <c r="E144" s="792">
        <v>0</v>
      </c>
      <c r="F144" s="792"/>
      <c r="G144" s="792"/>
      <c r="H144" s="792"/>
      <c r="I144" s="792"/>
      <c r="J144" s="792"/>
      <c r="K144" s="792">
        <f t="shared" si="152"/>
        <v>0</v>
      </c>
      <c r="L144" s="792">
        <f t="shared" si="130"/>
        <v>0</v>
      </c>
      <c r="M144" s="792">
        <f t="shared" si="153"/>
        <v>0</v>
      </c>
      <c r="N144" s="792"/>
      <c r="O144" s="792"/>
      <c r="P144" s="792"/>
      <c r="Q144" s="792"/>
    </row>
    <row r="145" spans="1:17" s="780" customFormat="1" hidden="1">
      <c r="A145" s="777" t="str">
        <f>NCong!A229</f>
        <v>III.2.1</v>
      </c>
      <c r="B145" s="777" t="str">
        <f>NCong!B229</f>
        <v>TRƯỜNG HỢP CÓ HỢP ĐỒNG THUÊ ĐẤT</v>
      </c>
      <c r="C145" s="777" t="s">
        <v>51</v>
      </c>
      <c r="D145" s="791" t="s">
        <v>31</v>
      </c>
      <c r="E145" s="779">
        <f>NCong!K229</f>
        <v>1706988.5332499996</v>
      </c>
      <c r="F145" s="779"/>
      <c r="G145" s="779">
        <f>Dcu!K101</f>
        <v>0</v>
      </c>
      <c r="H145" s="779">
        <f>VLieu!I69</f>
        <v>0</v>
      </c>
      <c r="I145" s="779"/>
      <c r="J145" s="779">
        <f>Dcu!K100</f>
        <v>0</v>
      </c>
      <c r="K145" s="794">
        <f t="shared" si="152"/>
        <v>1706988.5332499996</v>
      </c>
      <c r="L145" s="794">
        <f t="shared" si="130"/>
        <v>256048.27998749993</v>
      </c>
      <c r="M145" s="794">
        <f t="shared" si="153"/>
        <v>1963036.8132374994</v>
      </c>
      <c r="N145" s="794"/>
      <c r="O145" s="794"/>
      <c r="P145" s="794"/>
      <c r="Q145" s="794">
        <f>NCong!N229</f>
        <v>46133.576923076922</v>
      </c>
    </row>
    <row r="146" spans="1:17" s="780" customFormat="1" ht="14.25" customHeight="1">
      <c r="A146" s="771" t="s">
        <v>540</v>
      </c>
      <c r="B146" s="1100" t="str">
        <f>NCong!B260</f>
        <v>Đăng ký, cấp đổi Giấy chứng nhận đồng loạt tại xã, phường</v>
      </c>
      <c r="C146" s="1099"/>
      <c r="D146" s="1099"/>
      <c r="E146" s="1099"/>
      <c r="F146" s="1099"/>
      <c r="G146" s="1099"/>
      <c r="H146" s="1099"/>
      <c r="I146" s="1099"/>
      <c r="J146" s="1099"/>
      <c r="K146" s="1099"/>
      <c r="L146" s="1099"/>
      <c r="M146" s="1099"/>
      <c r="N146" s="1099"/>
      <c r="O146" s="1099"/>
      <c r="P146" s="1099"/>
      <c r="Q146" s="794"/>
    </row>
    <row r="147" spans="1:17" s="780" customFormat="1" ht="11.25" customHeight="1">
      <c r="A147" s="771" t="s">
        <v>19</v>
      </c>
      <c r="B147" s="834" t="s">
        <v>820</v>
      </c>
      <c r="C147" s="775"/>
      <c r="D147" s="775"/>
      <c r="E147" s="775"/>
      <c r="F147" s="775"/>
      <c r="G147" s="775"/>
      <c r="H147" s="775"/>
      <c r="I147" s="775"/>
      <c r="J147" s="775"/>
      <c r="K147" s="775"/>
      <c r="L147" s="775"/>
      <c r="M147" s="775"/>
      <c r="N147" s="775"/>
      <c r="O147" s="775"/>
      <c r="P147" s="775"/>
      <c r="Q147" s="794"/>
    </row>
    <row r="148" spans="1:17" s="770" customFormat="1">
      <c r="A148" s="1089" t="s">
        <v>127</v>
      </c>
      <c r="B148" s="1097" t="s">
        <v>719</v>
      </c>
      <c r="C148" s="1089" t="s">
        <v>51</v>
      </c>
      <c r="D148" s="785">
        <v>1</v>
      </c>
      <c r="E148" s="776">
        <f t="shared" ref="E148:F150" si="158">E193+E$205</f>
        <v>669679.05601874995</v>
      </c>
      <c r="F148" s="776">
        <f t="shared" si="158"/>
        <v>850.83187499999997</v>
      </c>
      <c r="G148" s="776">
        <f>Dcu!J128+Dcu!L128</f>
        <v>7207.9835569997858</v>
      </c>
      <c r="H148" s="776">
        <f t="shared" ref="H148:J150" si="159">H193+H$205</f>
        <v>45430.5</v>
      </c>
      <c r="I148" s="776">
        <f t="shared" si="159"/>
        <v>8019.7994285714285</v>
      </c>
      <c r="J148" s="776">
        <f t="shared" si="159"/>
        <v>12380.4555</v>
      </c>
      <c r="K148" s="776">
        <f t="shared" ref="K148:K169" si="160">SUM(E148:J148)</f>
        <v>743568.62637932133</v>
      </c>
      <c r="L148" s="776">
        <f t="shared" ref="L148:L169" si="161">K148*15%</f>
        <v>111535.2939568982</v>
      </c>
      <c r="M148" s="776">
        <f t="shared" ref="M148:M169" si="162">K148+L148</f>
        <v>855103.92033621948</v>
      </c>
      <c r="N148" s="776">
        <f t="shared" ref="N148:N169" si="163">K148-I148</f>
        <v>735548.82695074985</v>
      </c>
      <c r="O148" s="776">
        <f t="shared" ref="O148:O169" si="164">$L$6*N148</f>
        <v>110332.32404261247</v>
      </c>
      <c r="P148" s="776">
        <f t="shared" ref="P148:P169" si="165">N148+O148</f>
        <v>845881.1509933623</v>
      </c>
      <c r="Q148" s="776">
        <f t="shared" ref="Q148:Q150" si="166">Q193+Q$205</f>
        <v>19572.469230769224</v>
      </c>
    </row>
    <row r="149" spans="1:17" s="770" customFormat="1">
      <c r="A149" s="1089"/>
      <c r="B149" s="1097"/>
      <c r="C149" s="1089"/>
      <c r="D149" s="785">
        <v>2</v>
      </c>
      <c r="E149" s="776">
        <f t="shared" si="158"/>
        <v>669679.05601874995</v>
      </c>
      <c r="F149" s="776">
        <f t="shared" si="158"/>
        <v>850.83187499999997</v>
      </c>
      <c r="G149" s="776">
        <f>Dcu!J129+Dcu!L129</f>
        <v>7893.8250806645292</v>
      </c>
      <c r="H149" s="776">
        <f t="shared" si="159"/>
        <v>45430.5</v>
      </c>
      <c r="I149" s="776">
        <f t="shared" si="159"/>
        <v>8019.7994285714285</v>
      </c>
      <c r="J149" s="776">
        <f t="shared" si="159"/>
        <v>12380.4555</v>
      </c>
      <c r="K149" s="776">
        <f t="shared" si="160"/>
        <v>744254.46790298598</v>
      </c>
      <c r="L149" s="776">
        <f t="shared" si="161"/>
        <v>111638.17018544789</v>
      </c>
      <c r="M149" s="776">
        <f t="shared" si="162"/>
        <v>855892.63808843389</v>
      </c>
      <c r="N149" s="776">
        <f t="shared" si="163"/>
        <v>736234.6684744145</v>
      </c>
      <c r="O149" s="776">
        <f t="shared" si="164"/>
        <v>110435.20027116218</v>
      </c>
      <c r="P149" s="776">
        <f t="shared" si="165"/>
        <v>846669.86874557671</v>
      </c>
      <c r="Q149" s="776">
        <f t="shared" si="166"/>
        <v>19572.469230769224</v>
      </c>
    </row>
    <row r="150" spans="1:17" s="770" customFormat="1">
      <c r="A150" s="1089"/>
      <c r="B150" s="1097"/>
      <c r="C150" s="1089"/>
      <c r="D150" s="785">
        <v>3</v>
      </c>
      <c r="E150" s="776">
        <f t="shared" si="158"/>
        <v>669679.05601874995</v>
      </c>
      <c r="F150" s="776">
        <f t="shared" si="158"/>
        <v>850.83187499999997</v>
      </c>
      <c r="G150" s="776">
        <f>Dcu!J130+Dcu!L130</f>
        <v>8579.6666043292753</v>
      </c>
      <c r="H150" s="776">
        <f t="shared" si="159"/>
        <v>45430.5</v>
      </c>
      <c r="I150" s="776">
        <f t="shared" si="159"/>
        <v>8019.7994285714285</v>
      </c>
      <c r="J150" s="776">
        <f t="shared" si="159"/>
        <v>12380.4555</v>
      </c>
      <c r="K150" s="776">
        <f t="shared" si="160"/>
        <v>744940.30942665075</v>
      </c>
      <c r="L150" s="776">
        <f t="shared" si="161"/>
        <v>111741.04641399761</v>
      </c>
      <c r="M150" s="776">
        <f t="shared" si="162"/>
        <v>856681.35584064841</v>
      </c>
      <c r="N150" s="776">
        <f t="shared" si="163"/>
        <v>736920.50999807927</v>
      </c>
      <c r="O150" s="776">
        <f t="shared" si="164"/>
        <v>110538.07649971188</v>
      </c>
      <c r="P150" s="776">
        <f t="shared" si="165"/>
        <v>847458.58649779111</v>
      </c>
      <c r="Q150" s="776">
        <f t="shared" si="166"/>
        <v>19572.469230769224</v>
      </c>
    </row>
    <row r="151" spans="1:17" s="770" customFormat="1">
      <c r="A151" s="1089" t="s">
        <v>127</v>
      </c>
      <c r="B151" s="1097" t="s">
        <v>721</v>
      </c>
      <c r="C151" s="1089" t="s">
        <v>51</v>
      </c>
      <c r="D151" s="785">
        <v>1</v>
      </c>
      <c r="E151" s="776">
        <f>E148</f>
        <v>669679.05601874995</v>
      </c>
      <c r="F151" s="776">
        <f t="shared" ref="F151:J151" si="167">F148</f>
        <v>850.83187499999997</v>
      </c>
      <c r="G151" s="776">
        <f t="shared" si="167"/>
        <v>7207.9835569997858</v>
      </c>
      <c r="H151" s="776">
        <f t="shared" si="167"/>
        <v>45430.5</v>
      </c>
      <c r="I151" s="776">
        <f t="shared" si="167"/>
        <v>8019.7994285714285</v>
      </c>
      <c r="J151" s="776">
        <f t="shared" si="167"/>
        <v>12380.4555</v>
      </c>
      <c r="K151" s="776">
        <f t="shared" si="160"/>
        <v>743568.62637932133</v>
      </c>
      <c r="L151" s="776">
        <f t="shared" si="161"/>
        <v>111535.2939568982</v>
      </c>
      <c r="M151" s="776">
        <f t="shared" si="162"/>
        <v>855103.92033621948</v>
      </c>
      <c r="N151" s="776">
        <f t="shared" si="163"/>
        <v>735548.82695074985</v>
      </c>
      <c r="O151" s="776">
        <f t="shared" si="164"/>
        <v>110332.32404261247</v>
      </c>
      <c r="P151" s="776">
        <f t="shared" si="165"/>
        <v>845881.1509933623</v>
      </c>
      <c r="Q151" s="776">
        <f>Q148</f>
        <v>19572.469230769224</v>
      </c>
    </row>
    <row r="152" spans="1:17" s="770" customFormat="1">
      <c r="A152" s="1089"/>
      <c r="B152" s="1097"/>
      <c r="C152" s="1089"/>
      <c r="D152" s="785">
        <v>2</v>
      </c>
      <c r="E152" s="776">
        <f t="shared" ref="E152:J153" si="168">E149</f>
        <v>669679.05601874995</v>
      </c>
      <c r="F152" s="776">
        <f t="shared" si="168"/>
        <v>850.83187499999997</v>
      </c>
      <c r="G152" s="776">
        <f t="shared" si="168"/>
        <v>7893.8250806645292</v>
      </c>
      <c r="H152" s="776">
        <f t="shared" si="168"/>
        <v>45430.5</v>
      </c>
      <c r="I152" s="776">
        <f t="shared" si="168"/>
        <v>8019.7994285714285</v>
      </c>
      <c r="J152" s="776">
        <f t="shared" si="168"/>
        <v>12380.4555</v>
      </c>
      <c r="K152" s="776">
        <f t="shared" si="160"/>
        <v>744254.46790298598</v>
      </c>
      <c r="L152" s="776">
        <f t="shared" si="161"/>
        <v>111638.17018544789</v>
      </c>
      <c r="M152" s="776">
        <f t="shared" si="162"/>
        <v>855892.63808843389</v>
      </c>
      <c r="N152" s="776">
        <f t="shared" si="163"/>
        <v>736234.6684744145</v>
      </c>
      <c r="O152" s="776">
        <f t="shared" si="164"/>
        <v>110435.20027116218</v>
      </c>
      <c r="P152" s="776">
        <f t="shared" si="165"/>
        <v>846669.86874557671</v>
      </c>
      <c r="Q152" s="776">
        <f t="shared" ref="Q152:Q153" si="169">Q149</f>
        <v>19572.469230769224</v>
      </c>
    </row>
    <row r="153" spans="1:17" s="770" customFormat="1">
      <c r="A153" s="1089"/>
      <c r="B153" s="1097"/>
      <c r="C153" s="1089"/>
      <c r="D153" s="785">
        <v>3</v>
      </c>
      <c r="E153" s="776">
        <f t="shared" si="168"/>
        <v>669679.05601874995</v>
      </c>
      <c r="F153" s="776">
        <f t="shared" si="168"/>
        <v>850.83187499999997</v>
      </c>
      <c r="G153" s="776">
        <f t="shared" si="168"/>
        <v>8579.6666043292753</v>
      </c>
      <c r="H153" s="776">
        <f t="shared" si="168"/>
        <v>45430.5</v>
      </c>
      <c r="I153" s="776">
        <f t="shared" si="168"/>
        <v>8019.7994285714285</v>
      </c>
      <c r="J153" s="776">
        <f t="shared" si="168"/>
        <v>12380.4555</v>
      </c>
      <c r="K153" s="776">
        <f t="shared" si="160"/>
        <v>744940.30942665075</v>
      </c>
      <c r="L153" s="776">
        <f t="shared" si="161"/>
        <v>111741.04641399761</v>
      </c>
      <c r="M153" s="776">
        <f t="shared" si="162"/>
        <v>856681.35584064841</v>
      </c>
      <c r="N153" s="776">
        <f t="shared" si="163"/>
        <v>736920.50999807927</v>
      </c>
      <c r="O153" s="776">
        <f t="shared" si="164"/>
        <v>110538.07649971188</v>
      </c>
      <c r="P153" s="776">
        <f t="shared" si="165"/>
        <v>847458.58649779111</v>
      </c>
      <c r="Q153" s="776">
        <f t="shared" si="169"/>
        <v>19572.469230769224</v>
      </c>
    </row>
    <row r="154" spans="1:17" s="770" customFormat="1">
      <c r="A154" s="1089" t="s">
        <v>129</v>
      </c>
      <c r="B154" s="1097" t="s">
        <v>720</v>
      </c>
      <c r="C154" s="1089" t="s">
        <v>51</v>
      </c>
      <c r="D154" s="785">
        <v>1</v>
      </c>
      <c r="E154" s="776">
        <f>E148*1.3</f>
        <v>870582.77282437496</v>
      </c>
      <c r="F154" s="776">
        <f>F148*1.3</f>
        <v>1106.0814375</v>
      </c>
      <c r="G154" s="776">
        <f>G148*1.3</f>
        <v>9370.3786240997215</v>
      </c>
      <c r="H154" s="776">
        <f>H148</f>
        <v>45430.5</v>
      </c>
      <c r="I154" s="776">
        <f>I148*1.3</f>
        <v>10425.739257142857</v>
      </c>
      <c r="J154" s="776">
        <f>J148*1.3</f>
        <v>16094.59215</v>
      </c>
      <c r="K154" s="776">
        <f t="shared" si="160"/>
        <v>953010.06429311761</v>
      </c>
      <c r="L154" s="776">
        <f t="shared" si="161"/>
        <v>142951.50964396764</v>
      </c>
      <c r="M154" s="776">
        <f t="shared" si="162"/>
        <v>1095961.5739370852</v>
      </c>
      <c r="N154" s="776">
        <f t="shared" si="163"/>
        <v>942584.32503597473</v>
      </c>
      <c r="O154" s="776">
        <f t="shared" si="164"/>
        <v>141387.64875539619</v>
      </c>
      <c r="P154" s="776">
        <f t="shared" si="165"/>
        <v>1083971.9737913709</v>
      </c>
      <c r="Q154" s="776">
        <f>Q148*1.3</f>
        <v>25444.209999999992</v>
      </c>
    </row>
    <row r="155" spans="1:17" s="770" customFormat="1">
      <c r="A155" s="1089"/>
      <c r="B155" s="1097"/>
      <c r="C155" s="1089"/>
      <c r="D155" s="785">
        <v>2</v>
      </c>
      <c r="E155" s="776">
        <f t="shared" ref="E155:G156" si="170">E149*1.3</f>
        <v>870582.77282437496</v>
      </c>
      <c r="F155" s="776">
        <f t="shared" si="170"/>
        <v>1106.0814375</v>
      </c>
      <c r="G155" s="776">
        <f t="shared" si="170"/>
        <v>10261.972604863888</v>
      </c>
      <c r="H155" s="776">
        <f t="shared" ref="H155:H156" si="171">H149</f>
        <v>45430.5</v>
      </c>
      <c r="I155" s="776">
        <f t="shared" ref="I155:J156" si="172">I149*1.3</f>
        <v>10425.739257142857</v>
      </c>
      <c r="J155" s="776">
        <f t="shared" si="172"/>
        <v>16094.59215</v>
      </c>
      <c r="K155" s="776">
        <f t="shared" si="160"/>
        <v>953901.65827388177</v>
      </c>
      <c r="L155" s="776">
        <f t="shared" si="161"/>
        <v>143085.24874108227</v>
      </c>
      <c r="M155" s="776">
        <f t="shared" si="162"/>
        <v>1096986.9070149641</v>
      </c>
      <c r="N155" s="776">
        <f t="shared" si="163"/>
        <v>943475.91901673889</v>
      </c>
      <c r="O155" s="776">
        <f t="shared" si="164"/>
        <v>141521.38785251082</v>
      </c>
      <c r="P155" s="776">
        <f t="shared" si="165"/>
        <v>1084997.3068692498</v>
      </c>
      <c r="Q155" s="776">
        <f t="shared" ref="Q155:Q156" si="173">Q149*1.3</f>
        <v>25444.209999999992</v>
      </c>
    </row>
    <row r="156" spans="1:17" s="770" customFormat="1">
      <c r="A156" s="1089"/>
      <c r="B156" s="1097"/>
      <c r="C156" s="1089"/>
      <c r="D156" s="785">
        <v>3</v>
      </c>
      <c r="E156" s="776">
        <f t="shared" si="170"/>
        <v>870582.77282437496</v>
      </c>
      <c r="F156" s="776">
        <f t="shared" si="170"/>
        <v>1106.0814375</v>
      </c>
      <c r="G156" s="776">
        <f t="shared" si="170"/>
        <v>11153.566585628058</v>
      </c>
      <c r="H156" s="776">
        <f t="shared" si="171"/>
        <v>45430.5</v>
      </c>
      <c r="I156" s="776">
        <f t="shared" si="172"/>
        <v>10425.739257142857</v>
      </c>
      <c r="J156" s="776">
        <f t="shared" si="172"/>
        <v>16094.59215</v>
      </c>
      <c r="K156" s="776">
        <f t="shared" si="160"/>
        <v>954793.25225464592</v>
      </c>
      <c r="L156" s="776">
        <f t="shared" si="161"/>
        <v>143218.98783819689</v>
      </c>
      <c r="M156" s="776">
        <f t="shared" si="162"/>
        <v>1098012.2400928428</v>
      </c>
      <c r="N156" s="776">
        <f t="shared" si="163"/>
        <v>944367.51299750304</v>
      </c>
      <c r="O156" s="776">
        <f t="shared" si="164"/>
        <v>141655.12694962544</v>
      </c>
      <c r="P156" s="776">
        <f t="shared" si="165"/>
        <v>1086022.6399471285</v>
      </c>
      <c r="Q156" s="776">
        <f t="shared" si="173"/>
        <v>25444.209999999992</v>
      </c>
    </row>
    <row r="157" spans="1:17" s="770" customFormat="1">
      <c r="A157" s="1084" t="s">
        <v>130</v>
      </c>
      <c r="B157" s="1100" t="s">
        <v>722</v>
      </c>
      <c r="C157" s="1084" t="s">
        <v>51</v>
      </c>
      <c r="D157" s="771">
        <v>1</v>
      </c>
      <c r="E157" s="776">
        <f>0.3*(NCong!I282+NCong!I283+NCong!I286+NCong!I287+NCong!I290+NCong!I291+NCong!I292+NCong!I293+NCong!I295+NCong!I298+NCong!I302+NCong!I303+NCong!I304+NCong!I312+NCong!I315+NCong!I316+NCong!I317+NCong!I319+NCong!I320)</f>
        <v>182502.34268062501</v>
      </c>
      <c r="F157" s="776"/>
      <c r="G157" s="776">
        <f>Dcu!J132+Dcu!L132</f>
        <v>2258.4524284188037</v>
      </c>
      <c r="H157" s="776">
        <f>H148*0.3</f>
        <v>13629.15</v>
      </c>
      <c r="I157" s="776">
        <f>Tbi!I92+Tbi!I93</f>
        <v>1808.1043285714286</v>
      </c>
      <c r="J157" s="776">
        <f>Tbi!I79*Tbi!H92+Tbi!I86*Tbi!H93</f>
        <v>2887.9678800000002</v>
      </c>
      <c r="K157" s="776">
        <f t="shared" si="160"/>
        <v>203086.01731761525</v>
      </c>
      <c r="L157" s="776">
        <f t="shared" si="161"/>
        <v>30462.902597642285</v>
      </c>
      <c r="M157" s="776">
        <f t="shared" si="162"/>
        <v>233548.91991525755</v>
      </c>
      <c r="N157" s="776">
        <f t="shared" si="163"/>
        <v>201277.91298904381</v>
      </c>
      <c r="O157" s="776">
        <f t="shared" si="164"/>
        <v>30191.686948356568</v>
      </c>
      <c r="P157" s="776">
        <f t="shared" si="165"/>
        <v>231469.59993740037</v>
      </c>
      <c r="Q157" s="776">
        <f>0.3*(NCong!J282+NCong!J283+NCong!J286+NCong!J287+NCong!J290+NCong!J291+NCong!J292+NCong!J293+NCong!J295+NCong!J298+NCong!J302+NCong!J303+NCong!J304+NCong!J312+NCong!J315+NCong!J316+NCong!J317+NCong!J319+NCong!J320)</f>
        <v>5315.9922115384597</v>
      </c>
    </row>
    <row r="158" spans="1:17" s="770" customFormat="1">
      <c r="A158" s="1084"/>
      <c r="B158" s="1100"/>
      <c r="C158" s="1084"/>
      <c r="D158" s="771">
        <v>2</v>
      </c>
      <c r="E158" s="776">
        <f>E157</f>
        <v>182502.34268062501</v>
      </c>
      <c r="F158" s="776"/>
      <c r="G158" s="776">
        <f>G157</f>
        <v>2258.4524284188037</v>
      </c>
      <c r="H158" s="776">
        <f t="shared" ref="H158:H159" si="174">H149*0.3</f>
        <v>13629.15</v>
      </c>
      <c r="I158" s="776">
        <f>I157</f>
        <v>1808.1043285714286</v>
      </c>
      <c r="J158" s="776">
        <f>J157</f>
        <v>2887.9678800000002</v>
      </c>
      <c r="K158" s="776">
        <f t="shared" si="160"/>
        <v>203086.01731761525</v>
      </c>
      <c r="L158" s="776">
        <f t="shared" si="161"/>
        <v>30462.902597642285</v>
      </c>
      <c r="M158" s="776">
        <f t="shared" si="162"/>
        <v>233548.91991525755</v>
      </c>
      <c r="N158" s="776">
        <f t="shared" si="163"/>
        <v>201277.91298904381</v>
      </c>
      <c r="O158" s="776">
        <f t="shared" si="164"/>
        <v>30191.686948356568</v>
      </c>
      <c r="P158" s="776">
        <f t="shared" si="165"/>
        <v>231469.59993740037</v>
      </c>
      <c r="Q158" s="776">
        <f>Q157</f>
        <v>5315.9922115384597</v>
      </c>
    </row>
    <row r="159" spans="1:17" s="770" customFormat="1">
      <c r="A159" s="1084"/>
      <c r="B159" s="1100"/>
      <c r="C159" s="1084"/>
      <c r="D159" s="771">
        <v>3</v>
      </c>
      <c r="E159" s="776">
        <f>E158</f>
        <v>182502.34268062501</v>
      </c>
      <c r="F159" s="776"/>
      <c r="G159" s="776">
        <f>G158</f>
        <v>2258.4524284188037</v>
      </c>
      <c r="H159" s="776">
        <f t="shared" si="174"/>
        <v>13629.15</v>
      </c>
      <c r="I159" s="776">
        <f>I158</f>
        <v>1808.1043285714286</v>
      </c>
      <c r="J159" s="776">
        <f>J158</f>
        <v>2887.9678800000002</v>
      </c>
      <c r="K159" s="776">
        <f t="shared" si="160"/>
        <v>203086.01731761525</v>
      </c>
      <c r="L159" s="776">
        <f t="shared" si="161"/>
        <v>30462.902597642285</v>
      </c>
      <c r="M159" s="776">
        <f t="shared" si="162"/>
        <v>233548.91991525755</v>
      </c>
      <c r="N159" s="776">
        <f t="shared" si="163"/>
        <v>201277.91298904381</v>
      </c>
      <c r="O159" s="776">
        <f t="shared" si="164"/>
        <v>30191.686948356568</v>
      </c>
      <c r="P159" s="776">
        <f t="shared" si="165"/>
        <v>231469.59993740037</v>
      </c>
      <c r="Q159" s="776">
        <f>Q158</f>
        <v>5315.9922115384597</v>
      </c>
    </row>
    <row r="160" spans="1:17" s="770" customFormat="1">
      <c r="A160" s="771" t="s">
        <v>723</v>
      </c>
      <c r="B160" s="774" t="s">
        <v>724</v>
      </c>
      <c r="C160" s="771"/>
      <c r="D160" s="771"/>
      <c r="E160" s="776"/>
      <c r="F160" s="776"/>
      <c r="G160" s="776"/>
      <c r="H160" s="776"/>
      <c r="I160" s="776"/>
      <c r="J160" s="776"/>
      <c r="K160" s="776"/>
      <c r="L160" s="776"/>
      <c r="M160" s="776"/>
      <c r="N160" s="776"/>
      <c r="O160" s="776"/>
      <c r="P160" s="776"/>
      <c r="Q160" s="776"/>
    </row>
    <row r="161" spans="1:17" s="770" customFormat="1">
      <c r="A161" s="1089">
        <v>1</v>
      </c>
      <c r="B161" s="1097" t="s">
        <v>725</v>
      </c>
      <c r="C161" s="1089" t="s">
        <v>51</v>
      </c>
      <c r="D161" s="785">
        <v>1</v>
      </c>
      <c r="E161" s="776">
        <f>E148*0.9</f>
        <v>602711.15041687503</v>
      </c>
      <c r="F161" s="776">
        <f t="shared" ref="E161:J163" si="175">F148*0.9</f>
        <v>765.74868749999996</v>
      </c>
      <c r="G161" s="776">
        <f t="shared" si="175"/>
        <v>6487.185201299807</v>
      </c>
      <c r="H161" s="776">
        <f t="shared" si="175"/>
        <v>40887.450000000004</v>
      </c>
      <c r="I161" s="776">
        <f t="shared" si="175"/>
        <v>7217.8194857142862</v>
      </c>
      <c r="J161" s="776">
        <f t="shared" si="175"/>
        <v>11142.409950000001</v>
      </c>
      <c r="K161" s="776">
        <f t="shared" si="160"/>
        <v>669211.76374138915</v>
      </c>
      <c r="L161" s="776">
        <f t="shared" si="161"/>
        <v>100381.76456120837</v>
      </c>
      <c r="M161" s="776">
        <f t="shared" si="162"/>
        <v>769593.52830259758</v>
      </c>
      <c r="N161" s="776">
        <f t="shared" si="163"/>
        <v>661993.94425567484</v>
      </c>
      <c r="O161" s="776">
        <f t="shared" si="164"/>
        <v>99299.091638351223</v>
      </c>
      <c r="P161" s="776">
        <f t="shared" si="165"/>
        <v>761293.03589402605</v>
      </c>
      <c r="Q161" s="776">
        <f>Q148*0.9</f>
        <v>17615.222307692304</v>
      </c>
    </row>
    <row r="162" spans="1:17" s="770" customFormat="1">
      <c r="A162" s="1089"/>
      <c r="B162" s="1097"/>
      <c r="C162" s="1089"/>
      <c r="D162" s="785">
        <v>2</v>
      </c>
      <c r="E162" s="776">
        <f t="shared" si="175"/>
        <v>602711.15041687503</v>
      </c>
      <c r="F162" s="776">
        <f t="shared" si="175"/>
        <v>765.74868749999996</v>
      </c>
      <c r="G162" s="776">
        <f t="shared" si="175"/>
        <v>7104.4425725980764</v>
      </c>
      <c r="H162" s="776">
        <f t="shared" si="175"/>
        <v>40887.450000000004</v>
      </c>
      <c r="I162" s="776">
        <f t="shared" si="175"/>
        <v>7217.8194857142862</v>
      </c>
      <c r="J162" s="776">
        <f t="shared" si="175"/>
        <v>11142.409950000001</v>
      </c>
      <c r="K162" s="776">
        <f t="shared" si="160"/>
        <v>669829.02111268742</v>
      </c>
      <c r="L162" s="776">
        <f t="shared" si="161"/>
        <v>100474.35316690311</v>
      </c>
      <c r="M162" s="776">
        <f t="shared" si="162"/>
        <v>770303.37427959056</v>
      </c>
      <c r="N162" s="776">
        <f t="shared" si="163"/>
        <v>662611.20162697311</v>
      </c>
      <c r="O162" s="776">
        <f t="shared" si="164"/>
        <v>99391.680244045958</v>
      </c>
      <c r="P162" s="776">
        <f t="shared" si="165"/>
        <v>762002.88187101902</v>
      </c>
      <c r="Q162" s="776">
        <f>Q149*0.9</f>
        <v>17615.222307692304</v>
      </c>
    </row>
    <row r="163" spans="1:17" s="770" customFormat="1">
      <c r="A163" s="1089"/>
      <c r="B163" s="1097"/>
      <c r="C163" s="1089"/>
      <c r="D163" s="785">
        <v>3</v>
      </c>
      <c r="E163" s="776">
        <f t="shared" si="175"/>
        <v>602711.15041687503</v>
      </c>
      <c r="F163" s="776">
        <f t="shared" si="175"/>
        <v>765.74868749999996</v>
      </c>
      <c r="G163" s="776">
        <f t="shared" si="175"/>
        <v>7721.6999438963476</v>
      </c>
      <c r="H163" s="776">
        <f t="shared" si="175"/>
        <v>40887.450000000004</v>
      </c>
      <c r="I163" s="776">
        <f t="shared" si="175"/>
        <v>7217.8194857142862</v>
      </c>
      <c r="J163" s="776">
        <f t="shared" si="175"/>
        <v>11142.409950000001</v>
      </c>
      <c r="K163" s="776">
        <f t="shared" si="160"/>
        <v>670446.27848398569</v>
      </c>
      <c r="L163" s="776">
        <f t="shared" si="161"/>
        <v>100566.94177259786</v>
      </c>
      <c r="M163" s="776">
        <f t="shared" si="162"/>
        <v>771013.22025658353</v>
      </c>
      <c r="N163" s="776">
        <f t="shared" si="163"/>
        <v>663228.45899827138</v>
      </c>
      <c r="O163" s="776">
        <f t="shared" si="164"/>
        <v>99484.268849740707</v>
      </c>
      <c r="P163" s="776">
        <f t="shared" si="165"/>
        <v>762712.72784801212</v>
      </c>
      <c r="Q163" s="776">
        <f>Q150*0.9</f>
        <v>17615.222307692304</v>
      </c>
    </row>
    <row r="164" spans="1:17" s="770" customFormat="1">
      <c r="A164" s="1089">
        <v>2</v>
      </c>
      <c r="B164" s="1097" t="s">
        <v>727</v>
      </c>
      <c r="C164" s="1089" t="s">
        <v>51</v>
      </c>
      <c r="D164" s="785">
        <v>1</v>
      </c>
      <c r="E164" s="776">
        <f>E161</f>
        <v>602711.15041687503</v>
      </c>
      <c r="F164" s="776">
        <f t="shared" ref="F164:J164" si="176">F161</f>
        <v>765.74868749999996</v>
      </c>
      <c r="G164" s="776">
        <f t="shared" si="176"/>
        <v>6487.185201299807</v>
      </c>
      <c r="H164" s="776">
        <f t="shared" si="176"/>
        <v>40887.450000000004</v>
      </c>
      <c r="I164" s="776">
        <f t="shared" si="176"/>
        <v>7217.8194857142862</v>
      </c>
      <c r="J164" s="776">
        <f t="shared" si="176"/>
        <v>11142.409950000001</v>
      </c>
      <c r="K164" s="776">
        <f t="shared" si="160"/>
        <v>669211.76374138915</v>
      </c>
      <c r="L164" s="776">
        <f t="shared" si="161"/>
        <v>100381.76456120837</v>
      </c>
      <c r="M164" s="776">
        <f t="shared" si="162"/>
        <v>769593.52830259758</v>
      </c>
      <c r="N164" s="776">
        <f t="shared" si="163"/>
        <v>661993.94425567484</v>
      </c>
      <c r="O164" s="776">
        <f t="shared" si="164"/>
        <v>99299.091638351223</v>
      </c>
      <c r="P164" s="776">
        <f t="shared" si="165"/>
        <v>761293.03589402605</v>
      </c>
      <c r="Q164" s="776">
        <f>Q161</f>
        <v>17615.222307692304</v>
      </c>
    </row>
    <row r="165" spans="1:17" s="770" customFormat="1">
      <c r="A165" s="1089"/>
      <c r="B165" s="1097"/>
      <c r="C165" s="1089"/>
      <c r="D165" s="785">
        <v>2</v>
      </c>
      <c r="E165" s="776">
        <f t="shared" ref="E165:J166" si="177">E162</f>
        <v>602711.15041687503</v>
      </c>
      <c r="F165" s="776">
        <f t="shared" si="177"/>
        <v>765.74868749999996</v>
      </c>
      <c r="G165" s="776">
        <f t="shared" si="177"/>
        <v>7104.4425725980764</v>
      </c>
      <c r="H165" s="776">
        <f t="shared" si="177"/>
        <v>40887.450000000004</v>
      </c>
      <c r="I165" s="776">
        <f t="shared" si="177"/>
        <v>7217.8194857142862</v>
      </c>
      <c r="J165" s="776">
        <f t="shared" si="177"/>
        <v>11142.409950000001</v>
      </c>
      <c r="K165" s="776">
        <f t="shared" si="160"/>
        <v>669829.02111268742</v>
      </c>
      <c r="L165" s="776">
        <f t="shared" si="161"/>
        <v>100474.35316690311</v>
      </c>
      <c r="M165" s="776">
        <f t="shared" si="162"/>
        <v>770303.37427959056</v>
      </c>
      <c r="N165" s="776">
        <f t="shared" si="163"/>
        <v>662611.20162697311</v>
      </c>
      <c r="O165" s="776">
        <f t="shared" si="164"/>
        <v>99391.680244045958</v>
      </c>
      <c r="P165" s="776">
        <f t="shared" si="165"/>
        <v>762002.88187101902</v>
      </c>
      <c r="Q165" s="776">
        <f t="shared" ref="Q165:Q166" si="178">Q162</f>
        <v>17615.222307692304</v>
      </c>
    </row>
    <row r="166" spans="1:17" s="770" customFormat="1">
      <c r="A166" s="1089"/>
      <c r="B166" s="1097"/>
      <c r="C166" s="1089"/>
      <c r="D166" s="785">
        <v>3</v>
      </c>
      <c r="E166" s="776">
        <f t="shared" si="177"/>
        <v>602711.15041687503</v>
      </c>
      <c r="F166" s="776">
        <f t="shared" si="177"/>
        <v>765.74868749999996</v>
      </c>
      <c r="G166" s="776">
        <f t="shared" si="177"/>
        <v>7721.6999438963476</v>
      </c>
      <c r="H166" s="776">
        <f t="shared" si="177"/>
        <v>40887.450000000004</v>
      </c>
      <c r="I166" s="776">
        <f t="shared" si="177"/>
        <v>7217.8194857142862</v>
      </c>
      <c r="J166" s="776">
        <f t="shared" si="177"/>
        <v>11142.409950000001</v>
      </c>
      <c r="K166" s="776">
        <f t="shared" si="160"/>
        <v>670446.27848398569</v>
      </c>
      <c r="L166" s="776">
        <f t="shared" si="161"/>
        <v>100566.94177259786</v>
      </c>
      <c r="M166" s="776">
        <f t="shared" si="162"/>
        <v>771013.22025658353</v>
      </c>
      <c r="N166" s="776">
        <f t="shared" si="163"/>
        <v>663228.45899827138</v>
      </c>
      <c r="O166" s="776">
        <f t="shared" si="164"/>
        <v>99484.268849740707</v>
      </c>
      <c r="P166" s="776">
        <f t="shared" si="165"/>
        <v>762712.72784801212</v>
      </c>
      <c r="Q166" s="776">
        <f t="shared" si="178"/>
        <v>17615.222307692304</v>
      </c>
    </row>
    <row r="167" spans="1:17" s="770" customFormat="1">
      <c r="A167" s="1089">
        <v>3</v>
      </c>
      <c r="B167" s="1097" t="s">
        <v>726</v>
      </c>
      <c r="C167" s="1089" t="s">
        <v>51</v>
      </c>
      <c r="D167" s="785">
        <v>1</v>
      </c>
      <c r="E167" s="776">
        <f>E161*1.3</f>
        <v>783524.49554193753</v>
      </c>
      <c r="F167" s="776">
        <f t="shared" ref="F167:J167" si="179">F161*1.3</f>
        <v>995.47329374999993</v>
      </c>
      <c r="G167" s="776">
        <f t="shared" si="179"/>
        <v>8433.3407616897493</v>
      </c>
      <c r="H167" s="776">
        <f t="shared" si="179"/>
        <v>53153.685000000005</v>
      </c>
      <c r="I167" s="776">
        <f t="shared" si="179"/>
        <v>9383.1653314285722</v>
      </c>
      <c r="J167" s="776">
        <f t="shared" si="179"/>
        <v>14485.132935000001</v>
      </c>
      <c r="K167" s="776">
        <f t="shared" si="160"/>
        <v>869975.29286380578</v>
      </c>
      <c r="L167" s="776">
        <f t="shared" si="161"/>
        <v>130496.29392957086</v>
      </c>
      <c r="M167" s="776">
        <f t="shared" si="162"/>
        <v>1000471.5867933766</v>
      </c>
      <c r="N167" s="776">
        <f t="shared" si="163"/>
        <v>860592.12753237726</v>
      </c>
      <c r="O167" s="776">
        <f t="shared" si="164"/>
        <v>129088.81912985658</v>
      </c>
      <c r="P167" s="776">
        <f t="shared" si="165"/>
        <v>989680.94666223379</v>
      </c>
      <c r="Q167" s="776">
        <f>Q161*1.3</f>
        <v>22899.788999999997</v>
      </c>
    </row>
    <row r="168" spans="1:17" s="770" customFormat="1">
      <c r="A168" s="1089"/>
      <c r="B168" s="1097"/>
      <c r="C168" s="1089"/>
      <c r="D168" s="785">
        <v>2</v>
      </c>
      <c r="E168" s="776">
        <f t="shared" ref="E168:J169" si="180">E162*1.3</f>
        <v>783524.49554193753</v>
      </c>
      <c r="F168" s="776">
        <f t="shared" si="180"/>
        <v>995.47329374999993</v>
      </c>
      <c r="G168" s="776">
        <f t="shared" si="180"/>
        <v>9235.7753443775</v>
      </c>
      <c r="H168" s="776">
        <f t="shared" si="180"/>
        <v>53153.685000000005</v>
      </c>
      <c r="I168" s="776">
        <f t="shared" si="180"/>
        <v>9383.1653314285722</v>
      </c>
      <c r="J168" s="776">
        <f t="shared" si="180"/>
        <v>14485.132935000001</v>
      </c>
      <c r="K168" s="776">
        <f t="shared" si="160"/>
        <v>870777.72744649358</v>
      </c>
      <c r="L168" s="776">
        <f t="shared" si="161"/>
        <v>130616.65911697403</v>
      </c>
      <c r="M168" s="776">
        <f t="shared" si="162"/>
        <v>1001394.3865634676</v>
      </c>
      <c r="N168" s="776">
        <f t="shared" si="163"/>
        <v>861394.56211506505</v>
      </c>
      <c r="O168" s="776">
        <f t="shared" si="164"/>
        <v>129209.18431725976</v>
      </c>
      <c r="P168" s="776">
        <f t="shared" si="165"/>
        <v>990603.74643232487</v>
      </c>
      <c r="Q168" s="776">
        <f t="shared" ref="Q168:Q169" si="181">Q162*1.3</f>
        <v>22899.788999999997</v>
      </c>
    </row>
    <row r="169" spans="1:17" s="770" customFormat="1">
      <c r="A169" s="1089"/>
      <c r="B169" s="1097"/>
      <c r="C169" s="1089"/>
      <c r="D169" s="785">
        <v>3</v>
      </c>
      <c r="E169" s="776">
        <f t="shared" si="180"/>
        <v>783524.49554193753</v>
      </c>
      <c r="F169" s="776">
        <f t="shared" si="180"/>
        <v>995.47329374999993</v>
      </c>
      <c r="G169" s="776">
        <f t="shared" si="180"/>
        <v>10038.209927065252</v>
      </c>
      <c r="H169" s="776">
        <f t="shared" si="180"/>
        <v>53153.685000000005</v>
      </c>
      <c r="I169" s="776">
        <f t="shared" si="180"/>
        <v>9383.1653314285722</v>
      </c>
      <c r="J169" s="776">
        <f t="shared" si="180"/>
        <v>14485.132935000001</v>
      </c>
      <c r="K169" s="776">
        <f t="shared" si="160"/>
        <v>871580.16202918137</v>
      </c>
      <c r="L169" s="776">
        <f t="shared" si="161"/>
        <v>130737.02430437721</v>
      </c>
      <c r="M169" s="776">
        <f t="shared" si="162"/>
        <v>1002317.1863335585</v>
      </c>
      <c r="N169" s="776">
        <f t="shared" si="163"/>
        <v>862196.99669775285</v>
      </c>
      <c r="O169" s="776">
        <f t="shared" si="164"/>
        <v>129329.54950466292</v>
      </c>
      <c r="P169" s="776">
        <f t="shared" si="165"/>
        <v>991526.54620241583</v>
      </c>
      <c r="Q169" s="776">
        <f t="shared" si="181"/>
        <v>22899.788999999997</v>
      </c>
    </row>
    <row r="170" spans="1:17" s="770" customFormat="1">
      <c r="A170" s="771" t="s">
        <v>21</v>
      </c>
      <c r="B170" s="834" t="s">
        <v>822</v>
      </c>
      <c r="C170" s="785"/>
      <c r="D170" s="785"/>
      <c r="E170" s="776"/>
      <c r="F170" s="776"/>
      <c r="G170" s="776"/>
      <c r="H170" s="776"/>
      <c r="I170" s="776"/>
      <c r="J170" s="776"/>
      <c r="K170" s="776"/>
      <c r="L170" s="776"/>
      <c r="M170" s="776"/>
      <c r="N170" s="776"/>
      <c r="O170" s="776"/>
      <c r="P170" s="776"/>
      <c r="Q170" s="776"/>
    </row>
    <row r="171" spans="1:17" s="825" customFormat="1">
      <c r="A171" s="1103" t="s">
        <v>127</v>
      </c>
      <c r="B171" s="1104" t="s">
        <v>719</v>
      </c>
      <c r="C171" s="1103" t="s">
        <v>51</v>
      </c>
      <c r="D171" s="833">
        <v>1</v>
      </c>
      <c r="E171" s="824">
        <f>NCong!I267</f>
        <v>568190.6375999999</v>
      </c>
      <c r="F171" s="824">
        <f>NCong!I268</f>
        <v>850.83187499999997</v>
      </c>
      <c r="G171" s="824">
        <f>Dcu!J123+Dcu!L123</f>
        <v>7189.5212228632481</v>
      </c>
      <c r="H171" s="824">
        <f>H148</f>
        <v>45430.5</v>
      </c>
      <c r="I171" s="824">
        <f t="shared" ref="I171:J171" si="182">I148</f>
        <v>8019.7994285714285</v>
      </c>
      <c r="J171" s="824">
        <f t="shared" si="182"/>
        <v>12380.4555</v>
      </c>
      <c r="K171" s="824">
        <f t="shared" ref="K171:K182" si="183">SUM(E171:J171)</f>
        <v>642061.74562643468</v>
      </c>
      <c r="L171" s="824">
        <f t="shared" ref="L171:L182" si="184">K171*15%</f>
        <v>96309.2618439652</v>
      </c>
      <c r="M171" s="824">
        <f t="shared" ref="M171:M182" si="185">K171+L171</f>
        <v>738371.00747039984</v>
      </c>
      <c r="N171" s="824">
        <f t="shared" ref="N171:N182" si="186">K171-I171</f>
        <v>634041.9461978632</v>
      </c>
      <c r="O171" s="824">
        <f t="shared" ref="O171:O182" si="187">$L$6*N171</f>
        <v>95106.291929679472</v>
      </c>
      <c r="P171" s="824">
        <f t="shared" ref="P171:P182" si="188">N171+O171</f>
        <v>729148.23812754266</v>
      </c>
      <c r="Q171" s="824">
        <f>NCong!J267+NCong!J320</f>
        <v>17626.31538461538</v>
      </c>
    </row>
    <row r="172" spans="1:17" s="825" customFormat="1">
      <c r="A172" s="1103"/>
      <c r="B172" s="1104"/>
      <c r="C172" s="1103"/>
      <c r="D172" s="833">
        <v>2</v>
      </c>
      <c r="E172" s="824">
        <f>NCong!I269</f>
        <v>568190.6375999999</v>
      </c>
      <c r="F172" s="824">
        <f>NCong!I270</f>
        <v>850.83187499999997</v>
      </c>
      <c r="G172" s="824">
        <f>Dcu!J124+Dcu!L124</f>
        <v>7873.3113760683764</v>
      </c>
      <c r="H172" s="824">
        <f t="shared" ref="H172:J173" si="189">H149</f>
        <v>45430.5</v>
      </c>
      <c r="I172" s="824">
        <f t="shared" si="189"/>
        <v>8019.7994285714285</v>
      </c>
      <c r="J172" s="824">
        <f t="shared" si="189"/>
        <v>12380.4555</v>
      </c>
      <c r="K172" s="824">
        <f t="shared" si="183"/>
        <v>642745.53577963985</v>
      </c>
      <c r="L172" s="824">
        <f t="shared" si="184"/>
        <v>96411.830366945971</v>
      </c>
      <c r="M172" s="824">
        <f t="shared" si="185"/>
        <v>739157.36614658579</v>
      </c>
      <c r="N172" s="824">
        <f t="shared" si="186"/>
        <v>634725.73635106836</v>
      </c>
      <c r="O172" s="824">
        <f t="shared" si="187"/>
        <v>95208.860452660258</v>
      </c>
      <c r="P172" s="824">
        <f t="shared" si="188"/>
        <v>729934.59680372861</v>
      </c>
      <c r="Q172" s="824">
        <f>NCong!J269+NCong!J320</f>
        <v>17626.31538461538</v>
      </c>
    </row>
    <row r="173" spans="1:17" s="825" customFormat="1">
      <c r="A173" s="1103"/>
      <c r="B173" s="1104"/>
      <c r="C173" s="1103"/>
      <c r="D173" s="833">
        <v>3</v>
      </c>
      <c r="E173" s="824">
        <f>NCong!I271</f>
        <v>568190.6375999999</v>
      </c>
      <c r="F173" s="824">
        <f>NCong!I272</f>
        <v>850.83187499999997</v>
      </c>
      <c r="G173" s="824">
        <f>Dcu!J125+Dcu!L125</f>
        <v>8557.1015292735065</v>
      </c>
      <c r="H173" s="824">
        <f t="shared" si="189"/>
        <v>45430.5</v>
      </c>
      <c r="I173" s="824">
        <f t="shared" si="189"/>
        <v>8019.7994285714285</v>
      </c>
      <c r="J173" s="824">
        <f t="shared" si="189"/>
        <v>12380.4555</v>
      </c>
      <c r="K173" s="824">
        <f t="shared" si="183"/>
        <v>643429.32593284501</v>
      </c>
      <c r="L173" s="824">
        <f t="shared" si="184"/>
        <v>96514.398889926742</v>
      </c>
      <c r="M173" s="824">
        <f t="shared" si="185"/>
        <v>739943.72482277174</v>
      </c>
      <c r="N173" s="824">
        <f t="shared" si="186"/>
        <v>635409.52650427353</v>
      </c>
      <c r="O173" s="824">
        <f t="shared" si="187"/>
        <v>95311.428975641029</v>
      </c>
      <c r="P173" s="824">
        <f t="shared" si="188"/>
        <v>730720.95547991456</v>
      </c>
      <c r="Q173" s="824">
        <f>NCong!J271+NCong!J320</f>
        <v>17626.31538461538</v>
      </c>
    </row>
    <row r="174" spans="1:17" s="825" customFormat="1">
      <c r="A174" s="1103" t="s">
        <v>127</v>
      </c>
      <c r="B174" s="1104" t="s">
        <v>721</v>
      </c>
      <c r="C174" s="1103" t="s">
        <v>51</v>
      </c>
      <c r="D174" s="833">
        <v>1</v>
      </c>
      <c r="E174" s="824">
        <f>E171</f>
        <v>568190.6375999999</v>
      </c>
      <c r="F174" s="824">
        <f t="shared" ref="F174:J174" si="190">F171</f>
        <v>850.83187499999997</v>
      </c>
      <c r="G174" s="824">
        <f t="shared" si="190"/>
        <v>7189.5212228632481</v>
      </c>
      <c r="H174" s="824">
        <f t="shared" si="190"/>
        <v>45430.5</v>
      </c>
      <c r="I174" s="824">
        <f t="shared" si="190"/>
        <v>8019.7994285714285</v>
      </c>
      <c r="J174" s="824">
        <f t="shared" si="190"/>
        <v>12380.4555</v>
      </c>
      <c r="K174" s="824">
        <f t="shared" si="183"/>
        <v>642061.74562643468</v>
      </c>
      <c r="L174" s="824">
        <f t="shared" si="184"/>
        <v>96309.2618439652</v>
      </c>
      <c r="M174" s="824">
        <f t="shared" si="185"/>
        <v>738371.00747039984</v>
      </c>
      <c r="N174" s="824">
        <f t="shared" si="186"/>
        <v>634041.9461978632</v>
      </c>
      <c r="O174" s="824">
        <f t="shared" si="187"/>
        <v>95106.291929679472</v>
      </c>
      <c r="P174" s="824">
        <f t="shared" si="188"/>
        <v>729148.23812754266</v>
      </c>
      <c r="Q174" s="824">
        <f>Q171</f>
        <v>17626.31538461538</v>
      </c>
    </row>
    <row r="175" spans="1:17" s="825" customFormat="1">
      <c r="A175" s="1103"/>
      <c r="B175" s="1104"/>
      <c r="C175" s="1103"/>
      <c r="D175" s="833">
        <v>2</v>
      </c>
      <c r="E175" s="824">
        <f t="shared" ref="E175:J176" si="191">E172</f>
        <v>568190.6375999999</v>
      </c>
      <c r="F175" s="824">
        <f t="shared" si="191"/>
        <v>850.83187499999997</v>
      </c>
      <c r="G175" s="824">
        <f t="shared" si="191"/>
        <v>7873.3113760683764</v>
      </c>
      <c r="H175" s="824">
        <f t="shared" si="191"/>
        <v>45430.5</v>
      </c>
      <c r="I175" s="824">
        <f t="shared" si="191"/>
        <v>8019.7994285714285</v>
      </c>
      <c r="J175" s="824">
        <f t="shared" si="191"/>
        <v>12380.4555</v>
      </c>
      <c r="K175" s="824">
        <f t="shared" si="183"/>
        <v>642745.53577963985</v>
      </c>
      <c r="L175" s="824">
        <f t="shared" si="184"/>
        <v>96411.830366945971</v>
      </c>
      <c r="M175" s="824">
        <f t="shared" si="185"/>
        <v>739157.36614658579</v>
      </c>
      <c r="N175" s="824">
        <f t="shared" si="186"/>
        <v>634725.73635106836</v>
      </c>
      <c r="O175" s="824">
        <f t="shared" si="187"/>
        <v>95208.860452660258</v>
      </c>
      <c r="P175" s="824">
        <f t="shared" si="188"/>
        <v>729934.59680372861</v>
      </c>
      <c r="Q175" s="824">
        <f t="shared" ref="Q175:Q176" si="192">Q172</f>
        <v>17626.31538461538</v>
      </c>
    </row>
    <row r="176" spans="1:17" s="825" customFormat="1">
      <c r="A176" s="1103"/>
      <c r="B176" s="1104"/>
      <c r="C176" s="1103"/>
      <c r="D176" s="833">
        <v>3</v>
      </c>
      <c r="E176" s="824">
        <f t="shared" si="191"/>
        <v>568190.6375999999</v>
      </c>
      <c r="F176" s="824">
        <f t="shared" si="191"/>
        <v>850.83187499999997</v>
      </c>
      <c r="G176" s="824">
        <f t="shared" si="191"/>
        <v>8557.1015292735065</v>
      </c>
      <c r="H176" s="824">
        <f t="shared" si="191"/>
        <v>45430.5</v>
      </c>
      <c r="I176" s="824">
        <f t="shared" si="191"/>
        <v>8019.7994285714285</v>
      </c>
      <c r="J176" s="824">
        <f t="shared" si="191"/>
        <v>12380.4555</v>
      </c>
      <c r="K176" s="824">
        <f t="shared" si="183"/>
        <v>643429.32593284501</v>
      </c>
      <c r="L176" s="824">
        <f t="shared" si="184"/>
        <v>96514.398889926742</v>
      </c>
      <c r="M176" s="824">
        <f t="shared" si="185"/>
        <v>739943.72482277174</v>
      </c>
      <c r="N176" s="824">
        <f t="shared" si="186"/>
        <v>635409.52650427353</v>
      </c>
      <c r="O176" s="824">
        <f t="shared" si="187"/>
        <v>95311.428975641029</v>
      </c>
      <c r="P176" s="824">
        <f t="shared" si="188"/>
        <v>730720.95547991456</v>
      </c>
      <c r="Q176" s="824">
        <f t="shared" si="192"/>
        <v>17626.31538461538</v>
      </c>
    </row>
    <row r="177" spans="1:17" s="825" customFormat="1">
      <c r="A177" s="1103" t="s">
        <v>129</v>
      </c>
      <c r="B177" s="1104" t="s">
        <v>720</v>
      </c>
      <c r="C177" s="1103" t="s">
        <v>51</v>
      </c>
      <c r="D177" s="833">
        <v>1</v>
      </c>
      <c r="E177" s="824">
        <f>E171*1.3</f>
        <v>738647.82887999993</v>
      </c>
      <c r="F177" s="824">
        <f t="shared" ref="F177:G177" si="193">F171*1.3</f>
        <v>1106.0814375</v>
      </c>
      <c r="G177" s="824">
        <f t="shared" si="193"/>
        <v>9346.3775897222222</v>
      </c>
      <c r="H177" s="824">
        <f>H171</f>
        <v>45430.5</v>
      </c>
      <c r="I177" s="824">
        <f>I171*1.3</f>
        <v>10425.739257142857</v>
      </c>
      <c r="J177" s="824">
        <f>J171*1.3</f>
        <v>16094.59215</v>
      </c>
      <c r="K177" s="824">
        <f t="shared" si="183"/>
        <v>821051.11931436497</v>
      </c>
      <c r="L177" s="824">
        <f t="shared" si="184"/>
        <v>123157.66789715474</v>
      </c>
      <c r="M177" s="824">
        <f t="shared" si="185"/>
        <v>944208.78721151967</v>
      </c>
      <c r="N177" s="824">
        <f t="shared" si="186"/>
        <v>810625.38005722209</v>
      </c>
      <c r="O177" s="824">
        <f t="shared" si="187"/>
        <v>121593.8070085833</v>
      </c>
      <c r="P177" s="824">
        <f t="shared" si="188"/>
        <v>932219.18706580542</v>
      </c>
      <c r="Q177" s="824">
        <f>Q171*1.3</f>
        <v>22914.209999999995</v>
      </c>
    </row>
    <row r="178" spans="1:17" s="825" customFormat="1">
      <c r="A178" s="1103"/>
      <c r="B178" s="1104"/>
      <c r="C178" s="1103"/>
      <c r="D178" s="833">
        <v>2</v>
      </c>
      <c r="E178" s="824">
        <f t="shared" ref="E178:G179" si="194">E172*1.3</f>
        <v>738647.82887999993</v>
      </c>
      <c r="F178" s="824">
        <f t="shared" si="194"/>
        <v>1106.0814375</v>
      </c>
      <c r="G178" s="824">
        <f t="shared" si="194"/>
        <v>10235.30478888889</v>
      </c>
      <c r="H178" s="824">
        <f t="shared" ref="H178:H179" si="195">H172</f>
        <v>45430.5</v>
      </c>
      <c r="I178" s="824">
        <f t="shared" ref="I178:J179" si="196">I172*1.3</f>
        <v>10425.739257142857</v>
      </c>
      <c r="J178" s="824">
        <f t="shared" si="196"/>
        <v>16094.59215</v>
      </c>
      <c r="K178" s="824">
        <f t="shared" si="183"/>
        <v>821940.04651353171</v>
      </c>
      <c r="L178" s="824">
        <f t="shared" si="184"/>
        <v>123291.00697702976</v>
      </c>
      <c r="M178" s="824">
        <f t="shared" si="185"/>
        <v>945231.05349056143</v>
      </c>
      <c r="N178" s="824">
        <f t="shared" si="186"/>
        <v>811514.30725638883</v>
      </c>
      <c r="O178" s="824">
        <f t="shared" si="187"/>
        <v>121727.14608845832</v>
      </c>
      <c r="P178" s="824">
        <f t="shared" si="188"/>
        <v>933241.45334484719</v>
      </c>
      <c r="Q178" s="824">
        <f t="shared" ref="Q178:Q179" si="197">Q172*1.3</f>
        <v>22914.209999999995</v>
      </c>
    </row>
    <row r="179" spans="1:17" s="825" customFormat="1">
      <c r="A179" s="1103"/>
      <c r="B179" s="1104"/>
      <c r="C179" s="1103"/>
      <c r="D179" s="833">
        <v>3</v>
      </c>
      <c r="E179" s="824">
        <f t="shared" si="194"/>
        <v>738647.82887999993</v>
      </c>
      <c r="F179" s="824">
        <f t="shared" si="194"/>
        <v>1106.0814375</v>
      </c>
      <c r="G179" s="824">
        <f t="shared" si="194"/>
        <v>11124.231988055559</v>
      </c>
      <c r="H179" s="824">
        <f t="shared" si="195"/>
        <v>45430.5</v>
      </c>
      <c r="I179" s="824">
        <f t="shared" si="196"/>
        <v>10425.739257142857</v>
      </c>
      <c r="J179" s="824">
        <f t="shared" si="196"/>
        <v>16094.59215</v>
      </c>
      <c r="K179" s="824">
        <f t="shared" si="183"/>
        <v>822828.97371269832</v>
      </c>
      <c r="L179" s="824">
        <f t="shared" si="184"/>
        <v>123424.34605690475</v>
      </c>
      <c r="M179" s="824">
        <f t="shared" si="185"/>
        <v>946253.31976960308</v>
      </c>
      <c r="N179" s="824">
        <f t="shared" si="186"/>
        <v>812403.23445555544</v>
      </c>
      <c r="O179" s="824">
        <f t="shared" si="187"/>
        <v>121860.48516833331</v>
      </c>
      <c r="P179" s="824">
        <f t="shared" si="188"/>
        <v>934263.71962388873</v>
      </c>
      <c r="Q179" s="824">
        <f t="shared" si="197"/>
        <v>22914.209999999995</v>
      </c>
    </row>
    <row r="180" spans="1:17" s="770" customFormat="1">
      <c r="A180" s="1091" t="s">
        <v>130</v>
      </c>
      <c r="B180" s="1106" t="s">
        <v>722</v>
      </c>
      <c r="C180" s="1091" t="s">
        <v>51</v>
      </c>
      <c r="D180" s="823">
        <v>1</v>
      </c>
      <c r="E180" s="824">
        <f>0.3*(NCong!I282+NCong!I283+NCong!I286+NCong!I287+NCong!I290+NCong!I291+NCong!I292+NCong!I293+NCong!I295+NCong!I298+NCong!I302+NCong!I303+NCong!I312+NCong!I315+NCong!I316+NCong!I317+NCong!I319+NCong!I320)</f>
        <v>160870.84268062504</v>
      </c>
      <c r="F180" s="824">
        <f>F157</f>
        <v>0</v>
      </c>
      <c r="G180" s="824">
        <f t="shared" ref="G180:J180" si="198">G157</f>
        <v>2258.4524284188037</v>
      </c>
      <c r="H180" s="824">
        <f t="shared" si="198"/>
        <v>13629.15</v>
      </c>
      <c r="I180" s="824">
        <f t="shared" si="198"/>
        <v>1808.1043285714286</v>
      </c>
      <c r="J180" s="824">
        <f t="shared" si="198"/>
        <v>2887.9678800000002</v>
      </c>
      <c r="K180" s="824">
        <f t="shared" si="183"/>
        <v>181454.51731761527</v>
      </c>
      <c r="L180" s="824">
        <f t="shared" si="184"/>
        <v>27218.17759764229</v>
      </c>
      <c r="M180" s="824">
        <f t="shared" si="185"/>
        <v>208672.69491525757</v>
      </c>
      <c r="N180" s="824">
        <f t="shared" si="186"/>
        <v>179646.41298904383</v>
      </c>
      <c r="O180" s="824">
        <f t="shared" si="187"/>
        <v>26946.961948356573</v>
      </c>
      <c r="P180" s="824">
        <f t="shared" si="188"/>
        <v>206593.3749374004</v>
      </c>
      <c r="Q180" s="824">
        <f>0.3*(NCong!J282+NCong!J283+NCong!J286+NCong!J287+NCong!J290+NCong!J291+NCong!J292+NCong!J293+NCong!J295+NCong!J298+NCong!J302+NCong!J303+NCong!J312+NCong!J315+NCong!J316+NCong!J317+NCong!J319+NCong!J320)</f>
        <v>4732.1460576923064</v>
      </c>
    </row>
    <row r="181" spans="1:17" s="770" customFormat="1">
      <c r="A181" s="1091"/>
      <c r="B181" s="1106"/>
      <c r="C181" s="1091"/>
      <c r="D181" s="823">
        <v>2</v>
      </c>
      <c r="E181" s="824">
        <f>0.3*(NCong!I282+NCong!I283+NCong!I286+NCong!I287+NCong!I290+NCong!I291+NCong!I292+NCong!I293+NCong!I295+NCong!I298+NCong!I302+NCong!I303+NCong!I312+NCong!I315+NCong!I316+NCong!I317+NCong!I319+NCong!I320)</f>
        <v>160870.84268062504</v>
      </c>
      <c r="F181" s="824">
        <f t="shared" ref="F181:J182" si="199">F158</f>
        <v>0</v>
      </c>
      <c r="G181" s="824">
        <f t="shared" si="199"/>
        <v>2258.4524284188037</v>
      </c>
      <c r="H181" s="824">
        <f t="shared" si="199"/>
        <v>13629.15</v>
      </c>
      <c r="I181" s="824">
        <f t="shared" si="199"/>
        <v>1808.1043285714286</v>
      </c>
      <c r="J181" s="824">
        <f t="shared" si="199"/>
        <v>2887.9678800000002</v>
      </c>
      <c r="K181" s="824">
        <f t="shared" si="183"/>
        <v>181454.51731761527</v>
      </c>
      <c r="L181" s="824">
        <f t="shared" si="184"/>
        <v>27218.17759764229</v>
      </c>
      <c r="M181" s="824">
        <f t="shared" si="185"/>
        <v>208672.69491525757</v>
      </c>
      <c r="N181" s="824">
        <f t="shared" si="186"/>
        <v>179646.41298904383</v>
      </c>
      <c r="O181" s="824">
        <f t="shared" si="187"/>
        <v>26946.961948356573</v>
      </c>
      <c r="P181" s="824">
        <f t="shared" si="188"/>
        <v>206593.3749374004</v>
      </c>
      <c r="Q181" s="824">
        <f>0.3*(NCong!J282+NCong!J283+NCong!J286+NCong!J287+NCong!J290+NCong!J291+NCong!J292+NCong!J293+NCong!J295+NCong!J298+NCong!J302+NCong!J303+NCong!J312+NCong!J315+NCong!J316+NCong!J317+NCong!J319+NCong!J320)</f>
        <v>4732.1460576923064</v>
      </c>
    </row>
    <row r="182" spans="1:17" s="770" customFormat="1">
      <c r="A182" s="1091"/>
      <c r="B182" s="1106"/>
      <c r="C182" s="1091"/>
      <c r="D182" s="823">
        <v>3</v>
      </c>
      <c r="E182" s="824">
        <f>0.3*(NCong!I282+NCong!I283+NCong!I286+NCong!I287+NCong!I290+NCong!I291+NCong!I292+NCong!I293+NCong!I295+NCong!I298+NCong!I302+NCong!I303+NCong!I312+NCong!I315+NCong!I316+NCong!I317+NCong!I319+NCong!I320)</f>
        <v>160870.84268062504</v>
      </c>
      <c r="F182" s="824">
        <f t="shared" si="199"/>
        <v>0</v>
      </c>
      <c r="G182" s="824">
        <f t="shared" si="199"/>
        <v>2258.4524284188037</v>
      </c>
      <c r="H182" s="824">
        <f t="shared" si="199"/>
        <v>13629.15</v>
      </c>
      <c r="I182" s="824">
        <f t="shared" si="199"/>
        <v>1808.1043285714286</v>
      </c>
      <c r="J182" s="824">
        <f t="shared" si="199"/>
        <v>2887.9678800000002</v>
      </c>
      <c r="K182" s="824">
        <f t="shared" si="183"/>
        <v>181454.51731761527</v>
      </c>
      <c r="L182" s="824">
        <f t="shared" si="184"/>
        <v>27218.17759764229</v>
      </c>
      <c r="M182" s="824">
        <f t="shared" si="185"/>
        <v>208672.69491525757</v>
      </c>
      <c r="N182" s="824">
        <f t="shared" si="186"/>
        <v>179646.41298904383</v>
      </c>
      <c r="O182" s="824">
        <f t="shared" si="187"/>
        <v>26946.961948356573</v>
      </c>
      <c r="P182" s="824">
        <f t="shared" si="188"/>
        <v>206593.3749374004</v>
      </c>
      <c r="Q182" s="824">
        <f>0.3*(NCong!J282+NCong!J283+NCong!J286+NCong!J287+NCong!J290+NCong!J291+NCong!J292+NCong!J293+NCong!J295+NCong!J298+NCong!J302+NCong!J303+NCong!J312+NCong!J315+NCong!J316+NCong!J317+NCong!J319+NCong!J320)</f>
        <v>4732.1460576923064</v>
      </c>
    </row>
    <row r="183" spans="1:17" s="770" customFormat="1">
      <c r="A183" s="771" t="s">
        <v>723</v>
      </c>
      <c r="B183" s="774" t="s">
        <v>724</v>
      </c>
      <c r="C183" s="771"/>
      <c r="D183" s="771"/>
      <c r="E183" s="824"/>
      <c r="F183" s="824"/>
      <c r="G183" s="824"/>
      <c r="H183" s="824"/>
      <c r="I183" s="824"/>
      <c r="J183" s="824"/>
      <c r="K183" s="824"/>
      <c r="L183" s="824"/>
      <c r="M183" s="824"/>
      <c r="N183" s="824"/>
      <c r="O183" s="824"/>
      <c r="P183" s="824"/>
      <c r="Q183" s="824"/>
    </row>
    <row r="184" spans="1:17" s="825" customFormat="1">
      <c r="A184" s="1103">
        <v>1</v>
      </c>
      <c r="B184" s="1104" t="s">
        <v>725</v>
      </c>
      <c r="C184" s="1103" t="s">
        <v>51</v>
      </c>
      <c r="D184" s="833">
        <v>1</v>
      </c>
      <c r="E184" s="824">
        <f>E171*0.9</f>
        <v>511371.57383999991</v>
      </c>
      <c r="F184" s="824">
        <f t="shared" ref="F184:J184" si="200">F171*0.9</f>
        <v>765.74868749999996</v>
      </c>
      <c r="G184" s="824">
        <f t="shared" si="200"/>
        <v>6470.5691005769231</v>
      </c>
      <c r="H184" s="824">
        <f t="shared" si="200"/>
        <v>40887.450000000004</v>
      </c>
      <c r="I184" s="824">
        <f t="shared" si="200"/>
        <v>7217.8194857142862</v>
      </c>
      <c r="J184" s="824">
        <f t="shared" si="200"/>
        <v>11142.409950000001</v>
      </c>
      <c r="K184" s="824">
        <f t="shared" ref="K184:K205" si="201">SUM(E184:J184)</f>
        <v>577855.57106379117</v>
      </c>
      <c r="L184" s="824">
        <f t="shared" ref="L184:L192" si="202">K184*15%</f>
        <v>86678.335659568678</v>
      </c>
      <c r="M184" s="824">
        <f t="shared" ref="M184:M205" si="203">K184+L184</f>
        <v>664533.90672335983</v>
      </c>
      <c r="N184" s="824">
        <f t="shared" ref="N184:N192" si="204">K184-I184</f>
        <v>570637.75157807686</v>
      </c>
      <c r="O184" s="824">
        <f t="shared" ref="O184:O192" si="205">$L$6*N184</f>
        <v>85595.662736711529</v>
      </c>
      <c r="P184" s="824">
        <f t="shared" ref="P184:P192" si="206">N184+O184</f>
        <v>656233.41431478842</v>
      </c>
      <c r="Q184" s="824">
        <f>Q171*0.9</f>
        <v>15863.683846153843</v>
      </c>
    </row>
    <row r="185" spans="1:17" s="825" customFormat="1">
      <c r="A185" s="1103"/>
      <c r="B185" s="1104"/>
      <c r="C185" s="1103"/>
      <c r="D185" s="833">
        <v>2</v>
      </c>
      <c r="E185" s="824">
        <f t="shared" ref="E185:J186" si="207">E172*0.9</f>
        <v>511371.57383999991</v>
      </c>
      <c r="F185" s="824">
        <f t="shared" si="207"/>
        <v>765.74868749999996</v>
      </c>
      <c r="G185" s="824">
        <f t="shared" si="207"/>
        <v>7085.9802384615386</v>
      </c>
      <c r="H185" s="824">
        <f t="shared" si="207"/>
        <v>40887.450000000004</v>
      </c>
      <c r="I185" s="824">
        <f t="shared" si="207"/>
        <v>7217.8194857142862</v>
      </c>
      <c r="J185" s="824">
        <f t="shared" si="207"/>
        <v>11142.409950000001</v>
      </c>
      <c r="K185" s="824">
        <f t="shared" si="201"/>
        <v>578470.98220167577</v>
      </c>
      <c r="L185" s="824">
        <f t="shared" si="202"/>
        <v>86770.647330251362</v>
      </c>
      <c r="M185" s="824">
        <f t="shared" si="203"/>
        <v>665241.62953192717</v>
      </c>
      <c r="N185" s="824">
        <f t="shared" si="204"/>
        <v>571253.16271596146</v>
      </c>
      <c r="O185" s="824">
        <f t="shared" si="205"/>
        <v>85687.974407394213</v>
      </c>
      <c r="P185" s="824">
        <f t="shared" si="206"/>
        <v>656941.13712335564</v>
      </c>
      <c r="Q185" s="824">
        <f t="shared" ref="Q185:Q186" si="208">Q172*0.9</f>
        <v>15863.683846153843</v>
      </c>
    </row>
    <row r="186" spans="1:17" s="825" customFormat="1">
      <c r="A186" s="1103"/>
      <c r="B186" s="1104"/>
      <c r="C186" s="1103"/>
      <c r="D186" s="833">
        <v>3</v>
      </c>
      <c r="E186" s="824">
        <f t="shared" si="207"/>
        <v>511371.57383999991</v>
      </c>
      <c r="F186" s="824">
        <f t="shared" si="207"/>
        <v>765.74868749999996</v>
      </c>
      <c r="G186" s="824">
        <f t="shared" si="207"/>
        <v>7701.391376346156</v>
      </c>
      <c r="H186" s="824">
        <f t="shared" si="207"/>
        <v>40887.450000000004</v>
      </c>
      <c r="I186" s="824">
        <f t="shared" si="207"/>
        <v>7217.8194857142862</v>
      </c>
      <c r="J186" s="824">
        <f t="shared" si="207"/>
        <v>11142.409950000001</v>
      </c>
      <c r="K186" s="824">
        <f t="shared" si="201"/>
        <v>579086.39333956037</v>
      </c>
      <c r="L186" s="824">
        <f t="shared" si="202"/>
        <v>86862.959000934046</v>
      </c>
      <c r="M186" s="824">
        <f t="shared" si="203"/>
        <v>665949.3523404944</v>
      </c>
      <c r="N186" s="824">
        <f t="shared" si="204"/>
        <v>571868.57385384606</v>
      </c>
      <c r="O186" s="824">
        <f t="shared" si="205"/>
        <v>85780.286078076912</v>
      </c>
      <c r="P186" s="824">
        <f t="shared" si="206"/>
        <v>657648.85993192298</v>
      </c>
      <c r="Q186" s="824">
        <f t="shared" si="208"/>
        <v>15863.683846153843</v>
      </c>
    </row>
    <row r="187" spans="1:17" s="825" customFormat="1">
      <c r="A187" s="1103">
        <v>2</v>
      </c>
      <c r="B187" s="1104" t="s">
        <v>727</v>
      </c>
      <c r="C187" s="1103" t="s">
        <v>51</v>
      </c>
      <c r="D187" s="833">
        <v>1</v>
      </c>
      <c r="E187" s="824">
        <f>E184</f>
        <v>511371.57383999991</v>
      </c>
      <c r="F187" s="824">
        <f t="shared" ref="F187:J187" si="209">F184</f>
        <v>765.74868749999996</v>
      </c>
      <c r="G187" s="824">
        <f t="shared" si="209"/>
        <v>6470.5691005769231</v>
      </c>
      <c r="H187" s="824">
        <f t="shared" si="209"/>
        <v>40887.450000000004</v>
      </c>
      <c r="I187" s="824">
        <f t="shared" si="209"/>
        <v>7217.8194857142862</v>
      </c>
      <c r="J187" s="824">
        <f t="shared" si="209"/>
        <v>11142.409950000001</v>
      </c>
      <c r="K187" s="824">
        <f t="shared" si="201"/>
        <v>577855.57106379117</v>
      </c>
      <c r="L187" s="824">
        <f t="shared" si="202"/>
        <v>86678.335659568678</v>
      </c>
      <c r="M187" s="824">
        <f t="shared" si="203"/>
        <v>664533.90672335983</v>
      </c>
      <c r="N187" s="824">
        <f t="shared" si="204"/>
        <v>570637.75157807686</v>
      </c>
      <c r="O187" s="824">
        <f t="shared" si="205"/>
        <v>85595.662736711529</v>
      </c>
      <c r="P187" s="824">
        <f t="shared" si="206"/>
        <v>656233.41431478842</v>
      </c>
      <c r="Q187" s="824">
        <f>Q184</f>
        <v>15863.683846153843</v>
      </c>
    </row>
    <row r="188" spans="1:17" s="825" customFormat="1">
      <c r="A188" s="1103"/>
      <c r="B188" s="1104"/>
      <c r="C188" s="1103"/>
      <c r="D188" s="833">
        <v>2</v>
      </c>
      <c r="E188" s="824">
        <f t="shared" ref="E188:J189" si="210">E185</f>
        <v>511371.57383999991</v>
      </c>
      <c r="F188" s="824">
        <f t="shared" si="210"/>
        <v>765.74868749999996</v>
      </c>
      <c r="G188" s="824">
        <f t="shared" si="210"/>
        <v>7085.9802384615386</v>
      </c>
      <c r="H188" s="824">
        <f t="shared" si="210"/>
        <v>40887.450000000004</v>
      </c>
      <c r="I188" s="824">
        <f t="shared" si="210"/>
        <v>7217.8194857142862</v>
      </c>
      <c r="J188" s="824">
        <f t="shared" si="210"/>
        <v>11142.409950000001</v>
      </c>
      <c r="K188" s="824">
        <f t="shared" si="201"/>
        <v>578470.98220167577</v>
      </c>
      <c r="L188" s="824">
        <f t="shared" si="202"/>
        <v>86770.647330251362</v>
      </c>
      <c r="M188" s="824">
        <f t="shared" si="203"/>
        <v>665241.62953192717</v>
      </c>
      <c r="N188" s="824">
        <f t="shared" si="204"/>
        <v>571253.16271596146</v>
      </c>
      <c r="O188" s="824">
        <f t="shared" si="205"/>
        <v>85687.974407394213</v>
      </c>
      <c r="P188" s="824">
        <f t="shared" si="206"/>
        <v>656941.13712335564</v>
      </c>
      <c r="Q188" s="824">
        <f t="shared" ref="Q188:Q189" si="211">Q185</f>
        <v>15863.683846153843</v>
      </c>
    </row>
    <row r="189" spans="1:17" s="825" customFormat="1">
      <c r="A189" s="1103"/>
      <c r="B189" s="1104"/>
      <c r="C189" s="1103"/>
      <c r="D189" s="833">
        <v>3</v>
      </c>
      <c r="E189" s="824">
        <f t="shared" si="210"/>
        <v>511371.57383999991</v>
      </c>
      <c r="F189" s="824">
        <f t="shared" si="210"/>
        <v>765.74868749999996</v>
      </c>
      <c r="G189" s="824">
        <f t="shared" si="210"/>
        <v>7701.391376346156</v>
      </c>
      <c r="H189" s="824">
        <f t="shared" si="210"/>
        <v>40887.450000000004</v>
      </c>
      <c r="I189" s="824">
        <f t="shared" si="210"/>
        <v>7217.8194857142862</v>
      </c>
      <c r="J189" s="824">
        <f t="shared" si="210"/>
        <v>11142.409950000001</v>
      </c>
      <c r="K189" s="824">
        <f t="shared" si="201"/>
        <v>579086.39333956037</v>
      </c>
      <c r="L189" s="824">
        <f t="shared" si="202"/>
        <v>86862.959000934046</v>
      </c>
      <c r="M189" s="824">
        <f t="shared" si="203"/>
        <v>665949.3523404944</v>
      </c>
      <c r="N189" s="824">
        <f t="shared" si="204"/>
        <v>571868.57385384606</v>
      </c>
      <c r="O189" s="824">
        <f t="shared" si="205"/>
        <v>85780.286078076912</v>
      </c>
      <c r="P189" s="824">
        <f t="shared" si="206"/>
        <v>657648.85993192298</v>
      </c>
      <c r="Q189" s="824">
        <f t="shared" si="211"/>
        <v>15863.683846153843</v>
      </c>
    </row>
    <row r="190" spans="1:17" s="825" customFormat="1">
      <c r="A190" s="1103">
        <v>3</v>
      </c>
      <c r="B190" s="1104" t="s">
        <v>726</v>
      </c>
      <c r="C190" s="1103" t="s">
        <v>51</v>
      </c>
      <c r="D190" s="833">
        <v>1</v>
      </c>
      <c r="E190" s="824">
        <f>E184*1.3</f>
        <v>664783.04599199991</v>
      </c>
      <c r="F190" s="824">
        <f t="shared" ref="F190:J190" si="212">F184*1.3</f>
        <v>995.47329374999993</v>
      </c>
      <c r="G190" s="824">
        <f t="shared" si="212"/>
        <v>8411.7398307500007</v>
      </c>
      <c r="H190" s="824">
        <f t="shared" si="212"/>
        <v>53153.685000000005</v>
      </c>
      <c r="I190" s="824">
        <f t="shared" si="212"/>
        <v>9383.1653314285722</v>
      </c>
      <c r="J190" s="824">
        <f t="shared" si="212"/>
        <v>14485.132935000001</v>
      </c>
      <c r="K190" s="824">
        <f t="shared" si="201"/>
        <v>751212.2423829285</v>
      </c>
      <c r="L190" s="824">
        <f t="shared" si="202"/>
        <v>112681.83635743927</v>
      </c>
      <c r="M190" s="824">
        <f t="shared" si="203"/>
        <v>863894.07874036778</v>
      </c>
      <c r="N190" s="824">
        <f t="shared" si="204"/>
        <v>741829.07705149997</v>
      </c>
      <c r="O190" s="824">
        <f t="shared" si="205"/>
        <v>111274.36155772499</v>
      </c>
      <c r="P190" s="824">
        <f t="shared" si="206"/>
        <v>853103.43860922498</v>
      </c>
      <c r="Q190" s="824">
        <f>Q184*1.3</f>
        <v>20622.788999999997</v>
      </c>
    </row>
    <row r="191" spans="1:17" s="825" customFormat="1">
      <c r="A191" s="1103"/>
      <c r="B191" s="1104"/>
      <c r="C191" s="1103"/>
      <c r="D191" s="833">
        <v>2</v>
      </c>
      <c r="E191" s="824">
        <f t="shared" ref="E191:J192" si="213">E185*1.3</f>
        <v>664783.04599199991</v>
      </c>
      <c r="F191" s="824">
        <f t="shared" si="213"/>
        <v>995.47329374999993</v>
      </c>
      <c r="G191" s="824">
        <f t="shared" si="213"/>
        <v>9211.7743100000007</v>
      </c>
      <c r="H191" s="824">
        <f t="shared" si="213"/>
        <v>53153.685000000005</v>
      </c>
      <c r="I191" s="824">
        <f t="shared" si="213"/>
        <v>9383.1653314285722</v>
      </c>
      <c r="J191" s="824">
        <f t="shared" si="213"/>
        <v>14485.132935000001</v>
      </c>
      <c r="K191" s="824">
        <f t="shared" si="201"/>
        <v>752012.27686217846</v>
      </c>
      <c r="L191" s="824">
        <f t="shared" si="202"/>
        <v>112801.84152932676</v>
      </c>
      <c r="M191" s="824">
        <f t="shared" si="203"/>
        <v>864814.11839150521</v>
      </c>
      <c r="N191" s="824">
        <f t="shared" si="204"/>
        <v>742629.11153074994</v>
      </c>
      <c r="O191" s="824">
        <f t="shared" si="205"/>
        <v>111394.36672961249</v>
      </c>
      <c r="P191" s="824">
        <f t="shared" si="206"/>
        <v>854023.4782603624</v>
      </c>
      <c r="Q191" s="824">
        <f t="shared" ref="Q191:Q192" si="214">Q185*1.3</f>
        <v>20622.788999999997</v>
      </c>
    </row>
    <row r="192" spans="1:17" s="825" customFormat="1">
      <c r="A192" s="1103"/>
      <c r="B192" s="1104"/>
      <c r="C192" s="1103"/>
      <c r="D192" s="833">
        <v>3</v>
      </c>
      <c r="E192" s="824">
        <f t="shared" si="213"/>
        <v>664783.04599199991</v>
      </c>
      <c r="F192" s="824">
        <f t="shared" si="213"/>
        <v>995.47329374999993</v>
      </c>
      <c r="G192" s="824">
        <f t="shared" si="213"/>
        <v>10011.808789250003</v>
      </c>
      <c r="H192" s="824">
        <f t="shared" si="213"/>
        <v>53153.685000000005</v>
      </c>
      <c r="I192" s="824">
        <f t="shared" si="213"/>
        <v>9383.1653314285722</v>
      </c>
      <c r="J192" s="824">
        <f t="shared" si="213"/>
        <v>14485.132935000001</v>
      </c>
      <c r="K192" s="824">
        <f t="shared" si="201"/>
        <v>752812.31134142843</v>
      </c>
      <c r="L192" s="824">
        <f t="shared" si="202"/>
        <v>112921.84670121426</v>
      </c>
      <c r="M192" s="824">
        <f t="shared" si="203"/>
        <v>865734.15804264275</v>
      </c>
      <c r="N192" s="824">
        <f t="shared" si="204"/>
        <v>743429.14600999991</v>
      </c>
      <c r="O192" s="824">
        <f t="shared" si="205"/>
        <v>111514.37190149998</v>
      </c>
      <c r="P192" s="824">
        <f t="shared" si="206"/>
        <v>854943.51791149983</v>
      </c>
      <c r="Q192" s="824">
        <f t="shared" si="214"/>
        <v>20622.788999999997</v>
      </c>
    </row>
    <row r="193" spans="1:17" s="780" customFormat="1" hidden="1">
      <c r="A193" s="1087" t="str">
        <f>NCong!A261</f>
        <v>IV.1</v>
      </c>
      <c r="B193" s="1088" t="str">
        <f>NCong!B261</f>
        <v>CÁC NỘI DUNG THỰC HIỆN TẠI ĐỊA BÀN XÃ, PHƯỜNG, ĐẶC KHU (TRƯỜNG HỢP CÓ CHUẨN BỊ HỢP ĐỒNG THUÊ ĐẤT)</v>
      </c>
      <c r="C193" s="1087" t="s">
        <v>51</v>
      </c>
      <c r="D193" s="777">
        <f>NCong!F261</f>
        <v>1</v>
      </c>
      <c r="E193" s="779">
        <f>NCong!I261</f>
        <v>640295.6375999999</v>
      </c>
      <c r="F193" s="779">
        <f>NCong!I262</f>
        <v>850.83187499999997</v>
      </c>
      <c r="G193" s="779">
        <f>Dcu!J123</f>
        <v>6154.1113788461544</v>
      </c>
      <c r="H193" s="779">
        <f>VLieu!H$92</f>
        <v>27893.5</v>
      </c>
      <c r="I193" s="779">
        <f>Tbi!$I$71</f>
        <v>5978.3550000000005</v>
      </c>
      <c r="J193" s="779">
        <f>Tbi!$I$79</f>
        <v>7266.6657000000005</v>
      </c>
      <c r="K193" s="779">
        <f t="shared" si="201"/>
        <v>688439.10155384603</v>
      </c>
      <c r="L193" s="779">
        <f t="shared" ref="L193:L205" si="215">$L$6*K193</f>
        <v>103265.8652330769</v>
      </c>
      <c r="M193" s="779">
        <f t="shared" si="203"/>
        <v>791704.96678692289</v>
      </c>
      <c r="N193" s="779"/>
      <c r="O193" s="779"/>
      <c r="P193" s="779"/>
      <c r="Q193" s="779">
        <f>NCong!J261</f>
        <v>18857.987499999992</v>
      </c>
    </row>
    <row r="194" spans="1:17" s="780" customFormat="1" hidden="1">
      <c r="A194" s="1087"/>
      <c r="B194" s="1088"/>
      <c r="C194" s="1087"/>
      <c r="D194" s="777">
        <f>NCong!F263</f>
        <v>2</v>
      </c>
      <c r="E194" s="779">
        <f>NCong!I263</f>
        <v>640295.6375999999</v>
      </c>
      <c r="F194" s="779">
        <f>NCong!I264</f>
        <v>850.83187499999997</v>
      </c>
      <c r="G194" s="779">
        <f>Dcu!J124</f>
        <v>6837.9015320512826</v>
      </c>
      <c r="H194" s="779">
        <f>VLieu!H$92</f>
        <v>27893.5</v>
      </c>
      <c r="I194" s="779">
        <f>Tbi!$I$71</f>
        <v>5978.3550000000005</v>
      </c>
      <c r="J194" s="779">
        <f>Tbi!$I$79</f>
        <v>7266.6657000000005</v>
      </c>
      <c r="K194" s="779">
        <f t="shared" si="201"/>
        <v>689122.8917070512</v>
      </c>
      <c r="L194" s="779">
        <f t="shared" si="215"/>
        <v>103368.43375605768</v>
      </c>
      <c r="M194" s="779">
        <f t="shared" si="203"/>
        <v>792491.32546310883</v>
      </c>
      <c r="N194" s="779"/>
      <c r="O194" s="779"/>
      <c r="P194" s="779"/>
      <c r="Q194" s="779">
        <f>NCong!J263</f>
        <v>18857.987499999992</v>
      </c>
    </row>
    <row r="195" spans="1:17" s="780" customFormat="1" hidden="1">
      <c r="A195" s="1087"/>
      <c r="B195" s="1088"/>
      <c r="C195" s="1087"/>
      <c r="D195" s="777">
        <f>NCong!F265</f>
        <v>3</v>
      </c>
      <c r="E195" s="779">
        <f>NCong!I265</f>
        <v>640295.6375999999</v>
      </c>
      <c r="F195" s="779">
        <f>NCong!I266</f>
        <v>850.83187499999997</v>
      </c>
      <c r="G195" s="779">
        <f>Dcu!J125</f>
        <v>7521.6916852564118</v>
      </c>
      <c r="H195" s="779">
        <f>VLieu!H$92</f>
        <v>27893.5</v>
      </c>
      <c r="I195" s="779">
        <f>Tbi!$I$71</f>
        <v>5978.3550000000005</v>
      </c>
      <c r="J195" s="779">
        <f>Tbi!$I$79</f>
        <v>7266.6657000000005</v>
      </c>
      <c r="K195" s="779">
        <f t="shared" si="201"/>
        <v>689806.68186025636</v>
      </c>
      <c r="L195" s="779">
        <f t="shared" si="215"/>
        <v>103471.00227903845</v>
      </c>
      <c r="M195" s="779">
        <f t="shared" si="203"/>
        <v>793277.68413929478</v>
      </c>
      <c r="N195" s="779"/>
      <c r="O195" s="779"/>
      <c r="P195" s="779"/>
      <c r="Q195" s="779">
        <f>NCong!J265</f>
        <v>18857.987499999992</v>
      </c>
    </row>
    <row r="196" spans="1:17" hidden="1">
      <c r="A196" s="785" t="str">
        <f>NCong!A296</f>
        <v>10.2</v>
      </c>
      <c r="B196" s="796" t="str">
        <f>NCong!B296</f>
        <v>Trích lục trên bản đồ dạng giấy</v>
      </c>
      <c r="C196" s="785" t="str">
        <f>NCong!C296</f>
        <v>Hồ sơ</v>
      </c>
      <c r="D196" s="797" t="str">
        <f>NCong!F296</f>
        <v>1-3</v>
      </c>
      <c r="E196" s="788">
        <f>NCong!I296</f>
        <v>16043.362500000001</v>
      </c>
      <c r="F196" s="788"/>
      <c r="G196" s="788"/>
      <c r="H196" s="788"/>
      <c r="I196" s="788"/>
      <c r="J196" s="788"/>
      <c r="K196" s="788">
        <f t="shared" si="201"/>
        <v>16043.362500000001</v>
      </c>
      <c r="L196" s="788">
        <f t="shared" si="215"/>
        <v>2406.504375</v>
      </c>
      <c r="M196" s="788">
        <f t="shared" si="203"/>
        <v>18449.866875</v>
      </c>
      <c r="N196" s="788"/>
      <c r="O196" s="788"/>
      <c r="P196" s="788"/>
      <c r="Q196" s="788">
        <f>NCong!J296</f>
        <v>486.53846153846155</v>
      </c>
    </row>
    <row r="197" spans="1:17" s="793" customFormat="1" hidden="1">
      <c r="A197" s="789" t="str">
        <f>NCong!A297</f>
        <v>11</v>
      </c>
      <c r="B197" s="798" t="str">
        <f>NCong!B297</f>
        <v>Lập và gửi Phiếu chuyển thông tin để xác định nghĩa vụ tài chính về đất đai (nếu có)</v>
      </c>
      <c r="C197" s="789">
        <f>NCong!C297</f>
        <v>0</v>
      </c>
      <c r="D197" s="799">
        <f>NCong!F297</f>
        <v>0</v>
      </c>
      <c r="E197" s="792">
        <f>NCong!I297</f>
        <v>0</v>
      </c>
      <c r="F197" s="792"/>
      <c r="G197" s="792"/>
      <c r="H197" s="792"/>
      <c r="I197" s="792"/>
      <c r="J197" s="792"/>
      <c r="K197" s="792">
        <f t="shared" si="201"/>
        <v>0</v>
      </c>
      <c r="L197" s="792">
        <f t="shared" si="215"/>
        <v>0</v>
      </c>
      <c r="M197" s="792">
        <f t="shared" si="203"/>
        <v>0</v>
      </c>
      <c r="N197" s="792"/>
      <c r="O197" s="792"/>
      <c r="P197" s="792"/>
      <c r="Q197" s="792">
        <f>NCong!J297</f>
        <v>0</v>
      </c>
    </row>
    <row r="198" spans="1:17" s="793" customFormat="1" hidden="1">
      <c r="A198" s="789" t="str">
        <f>NCong!A298</f>
        <v>11.1</v>
      </c>
      <c r="B198" s="798" t="str">
        <f>NCong!B298</f>
        <v>Chuyển, nhận thông tin theo hình thức liên thông</v>
      </c>
      <c r="C198" s="789" t="str">
        <f>NCong!C298</f>
        <v>Hồ sơ</v>
      </c>
      <c r="D198" s="799" t="str">
        <f>NCong!F298</f>
        <v>1-3</v>
      </c>
      <c r="E198" s="792">
        <f>NCong!I298</f>
        <v>10815.75</v>
      </c>
      <c r="F198" s="792"/>
      <c r="G198" s="792"/>
      <c r="H198" s="792"/>
      <c r="I198" s="792"/>
      <c r="J198" s="792"/>
      <c r="K198" s="792">
        <f t="shared" si="201"/>
        <v>10815.75</v>
      </c>
      <c r="L198" s="792">
        <f t="shared" si="215"/>
        <v>1622.3625</v>
      </c>
      <c r="M198" s="792">
        <f t="shared" si="203"/>
        <v>12438.112499999999</v>
      </c>
      <c r="N198" s="792"/>
      <c r="O198" s="792"/>
      <c r="P198" s="792"/>
      <c r="Q198" s="792">
        <f>NCong!J298</f>
        <v>291.92307692307691</v>
      </c>
    </row>
    <row r="199" spans="1:17" hidden="1">
      <c r="A199" s="785" t="str">
        <f>NCong!A306</f>
        <v>15.1</v>
      </c>
      <c r="B199" s="787" t="str">
        <f>NCong!B306</f>
        <v>Trực tiếp từ cơ sở dữ liệu dạng số</v>
      </c>
      <c r="C199" s="785" t="str">
        <f>NCong!C306</f>
        <v>GCN</v>
      </c>
      <c r="D199" s="785" t="str">
        <f>NCong!F306</f>
        <v>1-3</v>
      </c>
      <c r="E199" s="788">
        <f>NCong!I306</f>
        <v>16043.362500000001</v>
      </c>
      <c r="F199" s="788"/>
      <c r="G199" s="788"/>
      <c r="H199" s="788">
        <f>VLieu!I128</f>
        <v>0</v>
      </c>
      <c r="I199" s="788"/>
      <c r="J199" s="788"/>
      <c r="K199" s="788">
        <f t="shared" si="201"/>
        <v>16043.362500000001</v>
      </c>
      <c r="L199" s="788">
        <f t="shared" si="215"/>
        <v>2406.504375</v>
      </c>
      <c r="M199" s="788">
        <f t="shared" si="203"/>
        <v>18449.866875</v>
      </c>
      <c r="N199" s="788"/>
      <c r="O199" s="788"/>
      <c r="P199" s="788"/>
      <c r="Q199" s="788">
        <f>NCong!J306</f>
        <v>486.53846153846155</v>
      </c>
    </row>
    <row r="200" spans="1:17" hidden="1">
      <c r="A200" s="785" t="str">
        <f>NCong!A315</f>
        <v>19.2</v>
      </c>
      <c r="B200" s="787" t="str">
        <f>NCong!B315</f>
        <v>Quét trang A4</v>
      </c>
      <c r="C200" s="785" t="str">
        <f>NCong!C315</f>
        <v>Trang</v>
      </c>
      <c r="D200" s="785"/>
      <c r="E200" s="788">
        <f>NCong!I315</f>
        <v>2249.6759999999999</v>
      </c>
      <c r="F200" s="788"/>
      <c r="G200" s="788"/>
      <c r="H200" s="788"/>
      <c r="I200" s="788"/>
      <c r="J200" s="788"/>
      <c r="K200" s="788">
        <f>SUM(E200:J200)</f>
        <v>2249.6759999999999</v>
      </c>
      <c r="L200" s="788">
        <f>$L$6*K200</f>
        <v>337.45139999999998</v>
      </c>
      <c r="M200" s="788">
        <f t="shared" si="203"/>
        <v>2587.1273999999999</v>
      </c>
      <c r="N200" s="788"/>
      <c r="O200" s="788"/>
      <c r="P200" s="788"/>
      <c r="Q200" s="788">
        <f>NCong!J315</f>
        <v>77.84615384615384</v>
      </c>
    </row>
    <row r="201" spans="1:17" ht="14" hidden="1">
      <c r="A201" s="785" t="str">
        <f>NCong!A316</f>
        <v>20</v>
      </c>
      <c r="B201" s="787" t="str">
        <f>NCong!B316</f>
        <v>Xử lý các tệp tin quét thành tệp (File) hồ sơ quét dạng số của thửa đất, lưu trữ dưới khuôn dạng tệp tin PDF</v>
      </c>
      <c r="C201" s="785" t="str">
        <f>NCong!C316</f>
        <v>Trang</v>
      </c>
      <c r="D201" s="785"/>
      <c r="E201" s="788">
        <f>NCong!I316</f>
        <v>9229.44</v>
      </c>
      <c r="F201" s="788"/>
      <c r="G201" s="788"/>
      <c r="H201" s="788"/>
      <c r="I201" s="788"/>
      <c r="J201" s="788"/>
      <c r="K201" s="788">
        <f>SUM(E201:J201)</f>
        <v>9229.44</v>
      </c>
      <c r="L201" s="788">
        <f>$L$6*K201</f>
        <v>1384.4159999999999</v>
      </c>
      <c r="M201" s="788">
        <f t="shared" si="203"/>
        <v>10613.856</v>
      </c>
      <c r="N201" s="788"/>
      <c r="O201" s="788"/>
      <c r="P201" s="788"/>
      <c r="Q201" s="788">
        <f>NCong!J316</f>
        <v>38.92307692307692</v>
      </c>
    </row>
    <row r="202" spans="1:17" hidden="1">
      <c r="A202" s="785" t="str">
        <f>NCong!A317</f>
        <v>21</v>
      </c>
      <c r="B202" s="787" t="str">
        <f>NCong!B317</f>
        <v>Tạo liên kết hồ sơ quét dạng số với thửa đất trong cơ sở dữ liệu</v>
      </c>
      <c r="C202" s="785" t="str">
        <f>NCong!C317</f>
        <v>Thửa</v>
      </c>
      <c r="D202" s="785"/>
      <c r="E202" s="788">
        <f>NCong!I317</f>
        <v>2812.0950000000003</v>
      </c>
      <c r="F202" s="788"/>
      <c r="G202" s="788"/>
      <c r="H202" s="788"/>
      <c r="I202" s="788"/>
      <c r="J202" s="788"/>
      <c r="K202" s="788">
        <f>SUM(E202:J202)</f>
        <v>2812.0950000000003</v>
      </c>
      <c r="L202" s="788">
        <f>$L$6*K202</f>
        <v>421.81425000000002</v>
      </c>
      <c r="M202" s="788">
        <f t="shared" si="203"/>
        <v>3233.9092500000002</v>
      </c>
      <c r="N202" s="788"/>
      <c r="O202" s="788"/>
      <c r="P202" s="788"/>
      <c r="Q202" s="788">
        <f>NCong!J317</f>
        <v>97.307692307692307</v>
      </c>
    </row>
    <row r="203" spans="1:17" ht="14" hidden="1">
      <c r="A203" s="785" t="str">
        <f>NCong!A318</f>
        <v>22</v>
      </c>
      <c r="B203" s="787" t="str">
        <f>NCong!B318</f>
        <v>Chuyển Giấy chứng nhận đến Bộ phận một cửa để trao cho người sử dụng đất hoặc chuyển Giấy chứng nhận cho người sử dụng đất thông qua dịch vụ bưu chính công ích</v>
      </c>
      <c r="C203" s="785" t="str">
        <f>NCong!C318</f>
        <v>Hồ sơ</v>
      </c>
      <c r="D203" s="785"/>
      <c r="E203" s="788">
        <f>NCong!I318</f>
        <v>6417.3450000000003</v>
      </c>
      <c r="F203" s="788"/>
      <c r="G203" s="788"/>
      <c r="H203" s="788"/>
      <c r="I203" s="788"/>
      <c r="J203" s="788"/>
      <c r="K203" s="788">
        <f>SUM(E203:J203)</f>
        <v>6417.3450000000003</v>
      </c>
      <c r="L203" s="788">
        <f>$L$6*K203</f>
        <v>962.60175000000004</v>
      </c>
      <c r="M203" s="788">
        <f t="shared" si="203"/>
        <v>7379.9467500000001</v>
      </c>
      <c r="N203" s="788"/>
      <c r="O203" s="788"/>
      <c r="P203" s="788"/>
      <c r="Q203" s="788">
        <f>NCong!J318</f>
        <v>194.61538461538461</v>
      </c>
    </row>
    <row r="204" spans="1:17" ht="14" hidden="1">
      <c r="A204" s="785" t="str">
        <f>NCong!A319</f>
        <v>23</v>
      </c>
      <c r="B204" s="787" t="str">
        <f>NCong!B319</f>
        <v xml:space="preserve">Nhận hồ sơ địa chính từ tỉnh và gửi về xã, phường, đặc khu (01 bộ) </v>
      </c>
      <c r="C204" s="785" t="str">
        <f>NCong!C319</f>
        <v xml:space="preserve">Bộ/xã , phường, </v>
      </c>
      <c r="D204" s="785"/>
      <c r="E204" s="788">
        <f>NCong!I319</f>
        <v>513.38760000000002</v>
      </c>
      <c r="F204" s="788"/>
      <c r="G204" s="788"/>
      <c r="H204" s="788"/>
      <c r="I204" s="788"/>
      <c r="J204" s="788"/>
      <c r="K204" s="788">
        <f>SUM(E204:J204)</f>
        <v>513.38760000000002</v>
      </c>
      <c r="L204" s="788">
        <f>$L$6*K204</f>
        <v>77.008139999999997</v>
      </c>
      <c r="M204" s="788">
        <f t="shared" si="203"/>
        <v>590.39574000000005</v>
      </c>
      <c r="N204" s="788"/>
      <c r="O204" s="788"/>
      <c r="P204" s="788"/>
      <c r="Q204" s="788">
        <f>NCong!J319</f>
        <v>15.569230769230769</v>
      </c>
    </row>
    <row r="205" spans="1:17" s="780" customFormat="1" hidden="1">
      <c r="A205" s="777" t="str">
        <f>NCong!A320</f>
        <v>IV.2</v>
      </c>
      <c r="B205" s="781" t="str">
        <f>NCong!B320</f>
        <v>CÁC NỘI DUNG THỰC HIỆN TẠI ĐỊA BÀN CẤP TỈNH</v>
      </c>
      <c r="C205" s="777" t="s">
        <v>51</v>
      </c>
      <c r="D205" s="777">
        <f>NCong!F320</f>
        <v>0</v>
      </c>
      <c r="E205" s="794">
        <f>NCong!I320</f>
        <v>29383.41841875</v>
      </c>
      <c r="F205" s="794"/>
      <c r="G205" s="794">
        <f>Dcu!L123</f>
        <v>1035.409844017094</v>
      </c>
      <c r="H205" s="794">
        <f>VLieu!J92</f>
        <v>17537</v>
      </c>
      <c r="I205" s="794">
        <f>Tbi!I80</f>
        <v>2041.4444285714285</v>
      </c>
      <c r="J205" s="794">
        <f>Tbi!I86+Dcu!L$119</f>
        <v>5113.7897999999996</v>
      </c>
      <c r="K205" s="794">
        <f t="shared" si="201"/>
        <v>55111.062491338518</v>
      </c>
      <c r="L205" s="794">
        <f t="shared" si="215"/>
        <v>8266.659373700777</v>
      </c>
      <c r="M205" s="794">
        <f t="shared" si="203"/>
        <v>63377.721865039297</v>
      </c>
      <c r="N205" s="794"/>
      <c r="O205" s="794"/>
      <c r="P205" s="794"/>
      <c r="Q205" s="794">
        <f>NCong!J320</f>
        <v>714.48173076923069</v>
      </c>
    </row>
    <row r="206" spans="1:17" s="769" customFormat="1" ht="13.5" customHeight="1">
      <c r="A206" s="800" t="str">
        <f>NCong!A340</f>
        <v>V</v>
      </c>
      <c r="B206" s="1100" t="str">
        <f>NCong!B340</f>
        <v>Đăng ký, cấp đổi, cấp lại Giấy chứng nhận riêng lẻ đối với hộ gia đình, cá nhân, cộng đồng dân cư, người gốc Việt Nam định cư ở nước ngoài</v>
      </c>
      <c r="C206" s="1099"/>
      <c r="D206" s="1099"/>
      <c r="E206" s="1099"/>
      <c r="F206" s="1099"/>
      <c r="G206" s="1099"/>
      <c r="H206" s="1099"/>
      <c r="I206" s="1099"/>
      <c r="J206" s="1099"/>
      <c r="K206" s="1099"/>
      <c r="L206" s="1099"/>
      <c r="M206" s="1099"/>
      <c r="N206" s="1099"/>
      <c r="O206" s="1099"/>
      <c r="P206" s="1099"/>
      <c r="Q206" s="771"/>
    </row>
    <row r="207" spans="1:17" s="769" customFormat="1">
      <c r="A207" s="800" t="s">
        <v>135</v>
      </c>
      <c r="B207" s="1100" t="s">
        <v>549</v>
      </c>
      <c r="C207" s="1099"/>
      <c r="D207" s="1099"/>
      <c r="E207" s="1099"/>
      <c r="F207" s="1099"/>
      <c r="G207" s="1099"/>
      <c r="H207" s="1099"/>
      <c r="I207" s="1099"/>
      <c r="J207" s="1099"/>
      <c r="K207" s="1099"/>
      <c r="L207" s="1099"/>
      <c r="M207" s="1099"/>
      <c r="N207" s="1099"/>
      <c r="O207" s="1099"/>
      <c r="P207" s="1099"/>
      <c r="Q207" s="771"/>
    </row>
    <row r="208" spans="1:17" s="769" customFormat="1" ht="14">
      <c r="A208" s="800">
        <v>1</v>
      </c>
      <c r="B208" s="774" t="s">
        <v>728</v>
      </c>
      <c r="C208" s="800" t="s">
        <v>51</v>
      </c>
      <c r="D208" s="801" t="s">
        <v>31</v>
      </c>
      <c r="E208" s="776">
        <f>SUM(E217:E218)</f>
        <v>947142.43799999997</v>
      </c>
      <c r="F208" s="776">
        <f t="shared" ref="F208:J208" si="216">SUM(F217:F217)</f>
        <v>0</v>
      </c>
      <c r="G208" s="776">
        <f t="shared" si="216"/>
        <v>10398.359705128205</v>
      </c>
      <c r="H208" s="776">
        <f t="shared" si="216"/>
        <v>21929</v>
      </c>
      <c r="I208" s="776">
        <f t="shared" si="216"/>
        <v>12104.866857142857</v>
      </c>
      <c r="J208" s="776">
        <f t="shared" si="216"/>
        <v>25298.1561</v>
      </c>
      <c r="K208" s="776">
        <f t="shared" ref="K208:K211" si="217">SUM(E208:J208)</f>
        <v>1016872.8206622711</v>
      </c>
      <c r="L208" s="776">
        <f t="shared" ref="L208:L216" si="218">K208*15%</f>
        <v>152530.92309934067</v>
      </c>
      <c r="M208" s="776">
        <f t="shared" ref="M208:M211" si="219">K208+L208</f>
        <v>1169403.7437616119</v>
      </c>
      <c r="N208" s="776">
        <f t="shared" ref="N208:N211" si="220">K208-I208</f>
        <v>1004767.9538051282</v>
      </c>
      <c r="O208" s="776">
        <f t="shared" ref="O208:O216" si="221">$L$6*N208</f>
        <v>150715.19307076922</v>
      </c>
      <c r="P208" s="776">
        <f t="shared" ref="P208:P211" si="222">N208+O208</f>
        <v>1155483.1468758974</v>
      </c>
      <c r="Q208" s="776">
        <f>SUM(Q217:Q217)</f>
        <v>27966.230769230762</v>
      </c>
    </row>
    <row r="209" spans="1:17" s="769" customFormat="1" ht="14">
      <c r="A209" s="771">
        <v>2</v>
      </c>
      <c r="B209" s="774" t="s">
        <v>729</v>
      </c>
      <c r="C209" s="800" t="s">
        <v>51</v>
      </c>
      <c r="D209" s="801" t="s">
        <v>31</v>
      </c>
      <c r="E209" s="776">
        <f>NCong!L341+NCong!L390</f>
        <v>878585.00399999996</v>
      </c>
      <c r="F209" s="776"/>
      <c r="G209" s="776">
        <f>G208</f>
        <v>10398.359705128205</v>
      </c>
      <c r="H209" s="776">
        <f t="shared" ref="H209:J209" si="223">H208</f>
        <v>21929</v>
      </c>
      <c r="I209" s="776">
        <f t="shared" si="223"/>
        <v>12104.866857142857</v>
      </c>
      <c r="J209" s="776">
        <f t="shared" si="223"/>
        <v>25298.1561</v>
      </c>
      <c r="K209" s="776">
        <f t="shared" si="217"/>
        <v>948315.38666227111</v>
      </c>
      <c r="L209" s="776">
        <f t="shared" si="218"/>
        <v>142247.30799934067</v>
      </c>
      <c r="M209" s="776">
        <f t="shared" si="219"/>
        <v>1090562.6946616117</v>
      </c>
      <c r="N209" s="776">
        <f t="shared" si="220"/>
        <v>936210.51980512822</v>
      </c>
      <c r="O209" s="776">
        <f t="shared" si="221"/>
        <v>140431.57797076923</v>
      </c>
      <c r="P209" s="776">
        <f t="shared" si="222"/>
        <v>1076642.0977758975</v>
      </c>
      <c r="Q209" s="776">
        <f>NCong!O341+NCong!O390</f>
        <v>26263.346153846149</v>
      </c>
    </row>
    <row r="210" spans="1:17" s="769" customFormat="1" ht="21">
      <c r="A210" s="771">
        <v>3</v>
      </c>
      <c r="B210" s="774" t="s">
        <v>730</v>
      </c>
      <c r="C210" s="800" t="s">
        <v>51</v>
      </c>
      <c r="D210" s="801" t="s">
        <v>31</v>
      </c>
      <c r="E210" s="776">
        <f>NCong!M341+NCong!M390</f>
        <v>1235569.6485000001</v>
      </c>
      <c r="F210" s="776"/>
      <c r="G210" s="776">
        <f>G208*1.3</f>
        <v>13517.867616666666</v>
      </c>
      <c r="H210" s="776">
        <f t="shared" ref="H210:J210" si="224">H208*1.3</f>
        <v>28507.7</v>
      </c>
      <c r="I210" s="776">
        <f t="shared" si="224"/>
        <v>15736.326914285715</v>
      </c>
      <c r="J210" s="776">
        <f t="shared" si="224"/>
        <v>32887.602930000001</v>
      </c>
      <c r="K210" s="776">
        <f t="shared" si="217"/>
        <v>1326219.1459609526</v>
      </c>
      <c r="L210" s="776">
        <f t="shared" si="218"/>
        <v>198932.87189414288</v>
      </c>
      <c r="M210" s="776">
        <f t="shared" si="219"/>
        <v>1525152.0178550954</v>
      </c>
      <c r="N210" s="776">
        <f t="shared" si="220"/>
        <v>1310482.8190466668</v>
      </c>
      <c r="O210" s="776">
        <f t="shared" si="221"/>
        <v>196572.42285700003</v>
      </c>
      <c r="P210" s="776">
        <f t="shared" si="222"/>
        <v>1507055.2419036669</v>
      </c>
      <c r="Q210" s="776">
        <f>NCong!P341+NCong!P390</f>
        <v>36743.384615384624</v>
      </c>
    </row>
    <row r="211" spans="1:17" s="769" customFormat="1" ht="14">
      <c r="A211" s="771">
        <v>4</v>
      </c>
      <c r="B211" s="774" t="s">
        <v>722</v>
      </c>
      <c r="C211" s="800" t="s">
        <v>51</v>
      </c>
      <c r="D211" s="801" t="s">
        <v>31</v>
      </c>
      <c r="E211" s="776">
        <f>0.3*(NCong!K346+NCong!K347+NCong!K350+NCong!K351+NCong!K354+NCong!K357+NCong!K358+NCong!K362+NCong!K363+NCong!K364+NCong!K365+NCong!K367+NCong!K370+NCong!K373+NCong!K380+NCong!K383+NCong!K384+NCong!K385+NCong!K387+NCong!K390)</f>
        <v>277155.75689999998</v>
      </c>
      <c r="F211" s="776"/>
      <c r="G211" s="776">
        <f>G208*0.3</f>
        <v>3119.5079115384615</v>
      </c>
      <c r="H211" s="776">
        <f t="shared" ref="H211:J211" si="225">H208*0.3</f>
        <v>6578.7</v>
      </c>
      <c r="I211" s="776">
        <f t="shared" si="225"/>
        <v>3631.4600571428568</v>
      </c>
      <c r="J211" s="776">
        <f t="shared" si="225"/>
        <v>7589.4468299999999</v>
      </c>
      <c r="K211" s="776">
        <f t="shared" si="217"/>
        <v>298074.87169868127</v>
      </c>
      <c r="L211" s="776">
        <f t="shared" si="218"/>
        <v>44711.230754802185</v>
      </c>
      <c r="M211" s="776">
        <f t="shared" si="219"/>
        <v>342786.10245348344</v>
      </c>
      <c r="N211" s="776">
        <f t="shared" si="220"/>
        <v>294443.41164153843</v>
      </c>
      <c r="O211" s="776">
        <f t="shared" si="221"/>
        <v>44166.511746230761</v>
      </c>
      <c r="P211" s="776">
        <f t="shared" si="222"/>
        <v>338609.9233877692</v>
      </c>
      <c r="Q211" s="776">
        <f>0.3*(NCong!N346+NCong!N347+NCong!N350+NCong!N351+NCong!N354+NCong!N357+NCong!N358+NCong!N362+NCong!N363+NCong!N364+NCong!N365+NCong!N367+NCong!N370+NCong!N373+NCong!N380+NCong!N383+NCong!N384+NCong!N385+NCong!N387+NCong!N390)</f>
        <v>8252.6653846153822</v>
      </c>
    </row>
    <row r="212" spans="1:17" s="769" customFormat="1">
      <c r="A212" s="800" t="s">
        <v>135</v>
      </c>
      <c r="B212" s="1100" t="s">
        <v>550</v>
      </c>
      <c r="C212" s="1099"/>
      <c r="D212" s="1099"/>
      <c r="E212" s="1099"/>
      <c r="F212" s="1099"/>
      <c r="G212" s="1099"/>
      <c r="H212" s="1099"/>
      <c r="I212" s="1099"/>
      <c r="J212" s="1099"/>
      <c r="K212" s="1099"/>
      <c r="L212" s="1099"/>
      <c r="M212" s="1099"/>
      <c r="N212" s="1099"/>
      <c r="O212" s="1099"/>
      <c r="P212" s="1099"/>
      <c r="Q212" s="771"/>
    </row>
    <row r="213" spans="1:17" s="769" customFormat="1" ht="14">
      <c r="A213" s="800">
        <v>1</v>
      </c>
      <c r="B213" s="774" t="s">
        <v>728</v>
      </c>
      <c r="C213" s="800" t="s">
        <v>51</v>
      </c>
      <c r="D213" s="801" t="s">
        <v>31</v>
      </c>
      <c r="E213" s="776">
        <f>NCong!K342+NCong!K390</f>
        <v>1077364.068</v>
      </c>
      <c r="F213" s="776"/>
      <c r="G213" s="776">
        <f>G208</f>
        <v>10398.359705128205</v>
      </c>
      <c r="H213" s="776">
        <f t="shared" ref="H213:J213" si="226">H208</f>
        <v>21929</v>
      </c>
      <c r="I213" s="776">
        <f t="shared" si="226"/>
        <v>12104.866857142857</v>
      </c>
      <c r="J213" s="776">
        <f t="shared" si="226"/>
        <v>25298.1561</v>
      </c>
      <c r="K213" s="776">
        <f t="shared" ref="K213:K216" si="227">SUM(E213:J213)</f>
        <v>1147094.4506622711</v>
      </c>
      <c r="L213" s="776">
        <f t="shared" si="218"/>
        <v>172064.16759934067</v>
      </c>
      <c r="M213" s="776">
        <f t="shared" ref="M213:M216" si="228">K213+L213</f>
        <v>1319158.6182616118</v>
      </c>
      <c r="N213" s="776">
        <f t="shared" ref="N213:N216" si="229">K213-I213</f>
        <v>1134989.5838051282</v>
      </c>
      <c r="O213" s="776">
        <f t="shared" si="221"/>
        <v>170248.43757076922</v>
      </c>
      <c r="P213" s="776">
        <f t="shared" ref="P213:P216" si="230">N213+O213</f>
        <v>1305238.0213758973</v>
      </c>
      <c r="Q213" s="776">
        <f>NCong!N342+NCong!N390</f>
        <v>30690.846153846145</v>
      </c>
    </row>
    <row r="214" spans="1:17" s="769" customFormat="1" ht="14">
      <c r="A214" s="771">
        <v>2</v>
      </c>
      <c r="B214" s="774" t="s">
        <v>729</v>
      </c>
      <c r="C214" s="800" t="s">
        <v>51</v>
      </c>
      <c r="D214" s="801" t="s">
        <v>31</v>
      </c>
      <c r="E214" s="776">
        <f>NCong!L342+NCong!L390</f>
        <v>1008806.634</v>
      </c>
      <c r="F214" s="776"/>
      <c r="G214" s="776">
        <f>G213</f>
        <v>10398.359705128205</v>
      </c>
      <c r="H214" s="776">
        <f t="shared" ref="H214:J214" si="231">H213</f>
        <v>21929</v>
      </c>
      <c r="I214" s="776">
        <f t="shared" si="231"/>
        <v>12104.866857142857</v>
      </c>
      <c r="J214" s="776">
        <f t="shared" si="231"/>
        <v>25298.1561</v>
      </c>
      <c r="K214" s="776">
        <f t="shared" si="227"/>
        <v>1078537.016662271</v>
      </c>
      <c r="L214" s="776">
        <f t="shared" si="218"/>
        <v>161780.55249934064</v>
      </c>
      <c r="M214" s="776">
        <f t="shared" si="228"/>
        <v>1240317.5691616116</v>
      </c>
      <c r="N214" s="776">
        <f t="shared" si="229"/>
        <v>1066432.1498051281</v>
      </c>
      <c r="O214" s="776">
        <f t="shared" si="221"/>
        <v>159964.8224707692</v>
      </c>
      <c r="P214" s="776">
        <f t="shared" si="230"/>
        <v>1226396.9722758974</v>
      </c>
      <c r="Q214" s="776">
        <f>NCong!O342+NCong!O390</f>
        <v>28793.346153846149</v>
      </c>
    </row>
    <row r="215" spans="1:17" s="769" customFormat="1" ht="21">
      <c r="A215" s="771">
        <v>3</v>
      </c>
      <c r="B215" s="774" t="s">
        <v>730</v>
      </c>
      <c r="C215" s="800" t="s">
        <v>51</v>
      </c>
      <c r="D215" s="801" t="s">
        <v>31</v>
      </c>
      <c r="E215" s="776">
        <f>NCong!M342+NCong!M390</f>
        <v>1384848.6300000004</v>
      </c>
      <c r="F215" s="776"/>
      <c r="G215" s="776">
        <f>G210</f>
        <v>13517.867616666666</v>
      </c>
      <c r="H215" s="776">
        <f t="shared" ref="H215:J215" si="232">H210</f>
        <v>28507.7</v>
      </c>
      <c r="I215" s="776">
        <f t="shared" si="232"/>
        <v>15736.326914285715</v>
      </c>
      <c r="J215" s="776">
        <f t="shared" si="232"/>
        <v>32887.602930000001</v>
      </c>
      <c r="K215" s="776">
        <f t="shared" si="227"/>
        <v>1475498.1274609528</v>
      </c>
      <c r="L215" s="776">
        <f t="shared" si="218"/>
        <v>221324.71911914292</v>
      </c>
      <c r="M215" s="776">
        <f t="shared" si="228"/>
        <v>1696822.8465800958</v>
      </c>
      <c r="N215" s="776">
        <f t="shared" si="229"/>
        <v>1459761.8005466671</v>
      </c>
      <c r="O215" s="776">
        <f t="shared" si="221"/>
        <v>218964.27008200006</v>
      </c>
      <c r="P215" s="776">
        <f t="shared" si="230"/>
        <v>1678726.0706286673</v>
      </c>
      <c r="Q215" s="776">
        <f>NCong!P342+NCong!P390</f>
        <v>39351.23076923078</v>
      </c>
    </row>
    <row r="216" spans="1:17" s="769" customFormat="1" ht="14">
      <c r="A216" s="771">
        <v>4</v>
      </c>
      <c r="B216" s="774" t="s">
        <v>722</v>
      </c>
      <c r="C216" s="800" t="s">
        <v>51</v>
      </c>
      <c r="D216" s="801" t="s">
        <v>31</v>
      </c>
      <c r="E216" s="776">
        <f>E211</f>
        <v>277155.75689999998</v>
      </c>
      <c r="F216" s="776">
        <f t="shared" ref="F216:J216" si="233">F211</f>
        <v>0</v>
      </c>
      <c r="G216" s="776">
        <f t="shared" si="233"/>
        <v>3119.5079115384615</v>
      </c>
      <c r="H216" s="776">
        <f t="shared" si="233"/>
        <v>6578.7</v>
      </c>
      <c r="I216" s="776">
        <f t="shared" si="233"/>
        <v>3631.4600571428568</v>
      </c>
      <c r="J216" s="776">
        <f t="shared" si="233"/>
        <v>7589.4468299999999</v>
      </c>
      <c r="K216" s="776">
        <f t="shared" si="227"/>
        <v>298074.87169868127</v>
      </c>
      <c r="L216" s="776">
        <f t="shared" si="218"/>
        <v>44711.230754802185</v>
      </c>
      <c r="M216" s="776">
        <f t="shared" si="228"/>
        <v>342786.10245348344</v>
      </c>
      <c r="N216" s="776">
        <f t="shared" si="229"/>
        <v>294443.41164153843</v>
      </c>
      <c r="O216" s="776">
        <f t="shared" si="221"/>
        <v>44166.511746230761</v>
      </c>
      <c r="P216" s="776">
        <f t="shared" si="230"/>
        <v>338609.9233877692</v>
      </c>
      <c r="Q216" s="776">
        <f>0.3*(NCong!N346+NCong!N347+NCong!N350+NCong!N351+NCong!N354+NCong!N357+NCong!N358+NCong!N362+NCong!N363+NCong!N364+NCong!N365+NCong!N367+NCong!N370+NCong!N373+NCong!N380+NCong!N383+NCong!N384+NCong!N385+NCong!N387+NCong!N390)</f>
        <v>8252.6653846153822</v>
      </c>
    </row>
    <row r="217" spans="1:17" s="780" customFormat="1" hidden="1">
      <c r="A217" s="777" t="str">
        <f>NCong!A341</f>
        <v>V.1</v>
      </c>
      <c r="B217" s="781" t="str">
        <f>NCong!B341</f>
        <v>CÁC NỘI DUNG THỰC HIỆN TẠI ĐỊA BÀN CẤP XÃ,PHƯỜNG (CẤP ĐỔI GCN)</v>
      </c>
      <c r="C217" s="777" t="s">
        <v>51</v>
      </c>
      <c r="D217" s="778" t="s">
        <v>31</v>
      </c>
      <c r="E217" s="779">
        <f>NCong!K341</f>
        <v>940725.09299999999</v>
      </c>
      <c r="F217" s="779"/>
      <c r="G217" s="779">
        <f>Dcu!K178</f>
        <v>10398.359705128205</v>
      </c>
      <c r="H217" s="779">
        <f>VLieu!I113</f>
        <v>21929</v>
      </c>
      <c r="I217" s="779">
        <f>Tbi!I100</f>
        <v>12104.866857142857</v>
      </c>
      <c r="J217" s="779">
        <f>Tbi!I107+Dcu!K177</f>
        <v>25298.1561</v>
      </c>
      <c r="K217" s="779">
        <f>SUM(E217:J217)</f>
        <v>1010455.4756622711</v>
      </c>
      <c r="L217" s="779">
        <f>$L$6*K217</f>
        <v>151568.32134934067</v>
      </c>
      <c r="M217" s="779">
        <f>K217+L217</f>
        <v>1162023.7970116118</v>
      </c>
      <c r="N217" s="779"/>
      <c r="O217" s="779"/>
      <c r="P217" s="779"/>
      <c r="Q217" s="779">
        <f>NCong!N341</f>
        <v>27966.230769230762</v>
      </c>
    </row>
    <row r="218" spans="1:17" s="780" customFormat="1" hidden="1">
      <c r="A218" s="777" t="s">
        <v>136</v>
      </c>
      <c r="B218" s="781" t="s">
        <v>191</v>
      </c>
      <c r="C218" s="777" t="s">
        <v>51</v>
      </c>
      <c r="D218" s="778" t="s">
        <v>31</v>
      </c>
      <c r="E218" s="779">
        <f>NCong!K390</f>
        <v>6417.3450000000003</v>
      </c>
      <c r="F218" s="779"/>
      <c r="G218" s="779"/>
      <c r="H218" s="779"/>
      <c r="I218" s="779"/>
      <c r="J218" s="779"/>
      <c r="K218" s="779"/>
      <c r="L218" s="779"/>
      <c r="M218" s="779"/>
      <c r="N218" s="779"/>
      <c r="O218" s="779"/>
      <c r="P218" s="779"/>
      <c r="Q218" s="779"/>
    </row>
    <row r="219" spans="1:17" s="769" customFormat="1" ht="14.25" customHeight="1">
      <c r="A219" s="837" t="s">
        <v>229</v>
      </c>
      <c r="B219" s="1081" t="str">
        <f>NCong!B401</f>
        <v>Đăng ký, cấp đổi, cấp lại Giấy chứng nhận riêng lẻ đối với tổ chức, tổ chức tôn giáo, tổ chức tôn giáo trực thuộc, tổ chức nước ngoài có chức năng ngoại giao, tổ chức kinh tế có vốn đầu tư nước ngoài, tổ chức nước ngoài, cá nhân nước ngoài</v>
      </c>
      <c r="C219" s="1082"/>
      <c r="D219" s="1082"/>
      <c r="E219" s="1082"/>
      <c r="F219" s="1082"/>
      <c r="G219" s="1082"/>
      <c r="H219" s="1082"/>
      <c r="I219" s="1082"/>
      <c r="J219" s="1082"/>
      <c r="K219" s="1082"/>
      <c r="L219" s="1082"/>
      <c r="M219" s="1082"/>
      <c r="N219" s="1082"/>
      <c r="O219" s="1082"/>
      <c r="P219" s="1082"/>
      <c r="Q219" s="783"/>
    </row>
    <row r="220" spans="1:17" s="769" customFormat="1">
      <c r="A220" s="800" t="s">
        <v>556</v>
      </c>
      <c r="B220" s="1100" t="s">
        <v>549</v>
      </c>
      <c r="C220" s="1099"/>
      <c r="D220" s="1099"/>
      <c r="E220" s="1099"/>
      <c r="F220" s="1099"/>
      <c r="G220" s="1099"/>
      <c r="H220" s="1099"/>
      <c r="I220" s="1099"/>
      <c r="J220" s="1099"/>
      <c r="K220" s="1099"/>
      <c r="L220" s="1099"/>
      <c r="M220" s="1099"/>
      <c r="N220" s="1099"/>
      <c r="O220" s="1099"/>
      <c r="P220" s="1099"/>
      <c r="Q220" s="783"/>
    </row>
    <row r="221" spans="1:17" s="769" customFormat="1" ht="14">
      <c r="A221" s="800">
        <v>1</v>
      </c>
      <c r="B221" s="774" t="s">
        <v>728</v>
      </c>
      <c r="C221" s="800" t="s">
        <v>51</v>
      </c>
      <c r="D221" s="801" t="s">
        <v>31</v>
      </c>
      <c r="E221" s="776">
        <f t="shared" ref="E221:J221" si="234">E228+E229</f>
        <v>1048774.4354999999</v>
      </c>
      <c r="F221" s="776">
        <f t="shared" si="234"/>
        <v>0</v>
      </c>
      <c r="G221" s="776">
        <f t="shared" si="234"/>
        <v>15205.090666666665</v>
      </c>
      <c r="H221" s="776">
        <f t="shared" si="234"/>
        <v>29778</v>
      </c>
      <c r="I221" s="776">
        <f t="shared" si="234"/>
        <v>16139.142142857143</v>
      </c>
      <c r="J221" s="776">
        <f t="shared" si="234"/>
        <v>33726.348599999998</v>
      </c>
      <c r="K221" s="776">
        <f t="shared" ref="K221:K223" si="235">SUM(E221:J221)</f>
        <v>1143623.0169095236</v>
      </c>
      <c r="L221" s="776">
        <f t="shared" ref="L221:L223" si="236">K221*15%</f>
        <v>171543.45253642855</v>
      </c>
      <c r="M221" s="776">
        <f t="shared" ref="M221:M223" si="237">K221+L221</f>
        <v>1315166.4694459522</v>
      </c>
      <c r="N221" s="776">
        <f t="shared" ref="N221:N223" si="238">K221-I221</f>
        <v>1127483.8747666664</v>
      </c>
      <c r="O221" s="776">
        <f t="shared" ref="O221:O223" si="239">$L$6*N221</f>
        <v>169122.58121499995</v>
      </c>
      <c r="P221" s="776">
        <f t="shared" ref="P221:P223" si="240">N221+O221</f>
        <v>1296606.4559816665</v>
      </c>
      <c r="Q221" s="776">
        <f>Q228+Q229</f>
        <v>29717.76923076923</v>
      </c>
    </row>
    <row r="222" spans="1:17" s="769" customFormat="1" ht="14">
      <c r="A222" s="771">
        <v>2</v>
      </c>
      <c r="B222" s="774" t="s">
        <v>729</v>
      </c>
      <c r="C222" s="800" t="s">
        <v>51</v>
      </c>
      <c r="D222" s="801" t="s">
        <v>31</v>
      </c>
      <c r="E222" s="776">
        <f>NCong!L402+NCong!L445</f>
        <v>980217.0014999999</v>
      </c>
      <c r="F222" s="776">
        <f t="shared" ref="F222:J222" si="241">F221</f>
        <v>0</v>
      </c>
      <c r="G222" s="776">
        <f t="shared" si="241"/>
        <v>15205.090666666665</v>
      </c>
      <c r="H222" s="776">
        <f t="shared" si="241"/>
        <v>29778</v>
      </c>
      <c r="I222" s="776">
        <f t="shared" si="241"/>
        <v>16139.142142857143</v>
      </c>
      <c r="J222" s="776">
        <f t="shared" si="241"/>
        <v>33726.348599999998</v>
      </c>
      <c r="K222" s="776">
        <f t="shared" si="235"/>
        <v>1075065.5829095237</v>
      </c>
      <c r="L222" s="776">
        <f t="shared" si="236"/>
        <v>161259.83743642856</v>
      </c>
      <c r="M222" s="776">
        <f t="shared" si="237"/>
        <v>1236325.4203459523</v>
      </c>
      <c r="N222" s="776">
        <f t="shared" si="238"/>
        <v>1058926.4407666666</v>
      </c>
      <c r="O222" s="776">
        <f t="shared" si="239"/>
        <v>158838.96611499999</v>
      </c>
      <c r="P222" s="776">
        <f t="shared" si="240"/>
        <v>1217765.4068816665</v>
      </c>
      <c r="Q222" s="776">
        <f>NCong!O402+NCong!O445</f>
        <v>27820.269230769227</v>
      </c>
    </row>
    <row r="223" spans="1:17" s="769" customFormat="1" ht="21">
      <c r="A223" s="771">
        <v>3</v>
      </c>
      <c r="B223" s="774" t="s">
        <v>730</v>
      </c>
      <c r="C223" s="800" t="s">
        <v>51</v>
      </c>
      <c r="D223" s="801" t="s">
        <v>31</v>
      </c>
      <c r="E223" s="776">
        <f>NCong!M402+NCong!M445</f>
        <v>1460320.9335</v>
      </c>
      <c r="F223" s="776"/>
      <c r="G223" s="776">
        <f>G221*1.3</f>
        <v>19766.617866666664</v>
      </c>
      <c r="H223" s="776">
        <f t="shared" ref="H223:J223" si="242">H221*1.3</f>
        <v>38711.4</v>
      </c>
      <c r="I223" s="776">
        <f t="shared" si="242"/>
        <v>20980.884785714286</v>
      </c>
      <c r="J223" s="776">
        <f t="shared" si="242"/>
        <v>43844.25318</v>
      </c>
      <c r="K223" s="776">
        <f t="shared" si="235"/>
        <v>1583624.089332381</v>
      </c>
      <c r="L223" s="776">
        <f t="shared" si="236"/>
        <v>237543.61339985713</v>
      </c>
      <c r="M223" s="776">
        <f t="shared" si="237"/>
        <v>1821167.7027322382</v>
      </c>
      <c r="N223" s="776">
        <f t="shared" si="238"/>
        <v>1562643.2045466667</v>
      </c>
      <c r="O223" s="776">
        <f t="shared" si="239"/>
        <v>234396.48068199999</v>
      </c>
      <c r="P223" s="776">
        <f t="shared" si="240"/>
        <v>1797039.6852286668</v>
      </c>
      <c r="Q223" s="776">
        <f>NCong!P402+NCong!P445</f>
        <v>41326.576923076937</v>
      </c>
    </row>
    <row r="224" spans="1:17" s="769" customFormat="1">
      <c r="A224" s="800" t="s">
        <v>556</v>
      </c>
      <c r="B224" s="1100" t="s">
        <v>550</v>
      </c>
      <c r="C224" s="1099"/>
      <c r="D224" s="1099"/>
      <c r="E224" s="1099"/>
      <c r="F224" s="1099"/>
      <c r="G224" s="1099"/>
      <c r="H224" s="1099"/>
      <c r="I224" s="1099"/>
      <c r="J224" s="1099"/>
      <c r="K224" s="1099"/>
      <c r="L224" s="1099"/>
      <c r="M224" s="1099"/>
      <c r="N224" s="1099"/>
      <c r="O224" s="1099"/>
      <c r="P224" s="1099"/>
      <c r="Q224" s="776"/>
    </row>
    <row r="225" spans="1:17" s="769" customFormat="1" ht="14">
      <c r="A225" s="800">
        <v>1</v>
      </c>
      <c r="B225" s="774" t="s">
        <v>728</v>
      </c>
      <c r="C225" s="800" t="s">
        <v>51</v>
      </c>
      <c r="D225" s="801" t="s">
        <v>31</v>
      </c>
      <c r="E225" s="776">
        <f>NCong!K403+NCong!K445</f>
        <v>960445.81049999991</v>
      </c>
      <c r="F225" s="776"/>
      <c r="G225" s="776">
        <f>G221</f>
        <v>15205.090666666665</v>
      </c>
      <c r="H225" s="776">
        <f t="shared" ref="H225:J226" si="243">H221</f>
        <v>29778</v>
      </c>
      <c r="I225" s="776">
        <f t="shared" si="243"/>
        <v>16139.142142857143</v>
      </c>
      <c r="J225" s="776">
        <f t="shared" si="243"/>
        <v>33726.348599999998</v>
      </c>
      <c r="K225" s="776">
        <f t="shared" ref="K225:K227" si="244">SUM(E225:J225)</f>
        <v>1055294.3919095236</v>
      </c>
      <c r="L225" s="776">
        <f t="shared" ref="L225:L227" si="245">K225*15%</f>
        <v>158294.15878642854</v>
      </c>
      <c r="M225" s="776">
        <f t="shared" ref="M225:M227" si="246">K225+L225</f>
        <v>1213588.5506959523</v>
      </c>
      <c r="N225" s="776">
        <f t="shared" ref="N225:N227" si="247">K225-I225</f>
        <v>1039155.2497666664</v>
      </c>
      <c r="O225" s="776">
        <f t="shared" ref="O225:O227" si="248">$L$6*N225</f>
        <v>155873.28746499997</v>
      </c>
      <c r="P225" s="776">
        <f t="shared" ref="P225:P227" si="249">N225+O225</f>
        <v>1195028.5372316665</v>
      </c>
      <c r="Q225" s="776">
        <f>NCong!N403+NCong!N445</f>
        <v>26798.538461538457</v>
      </c>
    </row>
    <row r="226" spans="1:17" s="769" customFormat="1" ht="14">
      <c r="A226" s="800">
        <v>2</v>
      </c>
      <c r="B226" s="774" t="s">
        <v>729</v>
      </c>
      <c r="C226" s="800" t="s">
        <v>51</v>
      </c>
      <c r="D226" s="801" t="s">
        <v>31</v>
      </c>
      <c r="E226" s="776">
        <f>NCong!L403+NCong!L445</f>
        <v>891888.3764999999</v>
      </c>
      <c r="F226" s="776"/>
      <c r="G226" s="776">
        <f>G222</f>
        <v>15205.090666666665</v>
      </c>
      <c r="H226" s="776">
        <f t="shared" si="243"/>
        <v>29778</v>
      </c>
      <c r="I226" s="776">
        <f t="shared" si="243"/>
        <v>16139.142142857143</v>
      </c>
      <c r="J226" s="776">
        <f t="shared" si="243"/>
        <v>33726.348599999998</v>
      </c>
      <c r="K226" s="776">
        <f t="shared" si="244"/>
        <v>986736.95790952374</v>
      </c>
      <c r="L226" s="776">
        <f t="shared" si="245"/>
        <v>148010.54368642854</v>
      </c>
      <c r="M226" s="776">
        <f t="shared" si="246"/>
        <v>1134747.5015959523</v>
      </c>
      <c r="N226" s="776">
        <f t="shared" si="247"/>
        <v>970597.81576666655</v>
      </c>
      <c r="O226" s="776">
        <f t="shared" si="248"/>
        <v>145589.67236499998</v>
      </c>
      <c r="P226" s="776">
        <f t="shared" si="249"/>
        <v>1116187.4881316666</v>
      </c>
      <c r="Q226" s="776">
        <f>NCong!O403+NCong!O445</f>
        <v>24901.038461538461</v>
      </c>
    </row>
    <row r="227" spans="1:17" s="769" customFormat="1" ht="21">
      <c r="A227" s="800">
        <v>3</v>
      </c>
      <c r="B227" s="774" t="s">
        <v>730</v>
      </c>
      <c r="C227" s="800" t="s">
        <v>51</v>
      </c>
      <c r="D227" s="801" t="s">
        <v>31</v>
      </c>
      <c r="E227" s="776">
        <f>NCong!M403+NCong!M445</f>
        <v>1257705.8835</v>
      </c>
      <c r="F227" s="776"/>
      <c r="G227" s="776">
        <f>G225*1.3</f>
        <v>19766.617866666664</v>
      </c>
      <c r="H227" s="776">
        <f t="shared" ref="H227:J227" si="250">H225*1.3</f>
        <v>38711.4</v>
      </c>
      <c r="I227" s="776">
        <f t="shared" si="250"/>
        <v>20980.884785714286</v>
      </c>
      <c r="J227" s="776">
        <f t="shared" si="250"/>
        <v>43844.25318</v>
      </c>
      <c r="K227" s="776">
        <f t="shared" si="244"/>
        <v>1381009.039332381</v>
      </c>
      <c r="L227" s="776">
        <f t="shared" si="245"/>
        <v>207151.35589985715</v>
      </c>
      <c r="M227" s="776">
        <f t="shared" si="246"/>
        <v>1588160.3952322381</v>
      </c>
      <c r="N227" s="776">
        <f t="shared" si="247"/>
        <v>1360028.1545466667</v>
      </c>
      <c r="O227" s="776">
        <f t="shared" si="248"/>
        <v>204004.22318199999</v>
      </c>
      <c r="P227" s="776">
        <f t="shared" si="249"/>
        <v>1564032.3777286666</v>
      </c>
      <c r="Q227" s="776">
        <f>NCong!P403+NCong!P445</f>
        <v>35001.576923076937</v>
      </c>
    </row>
    <row r="228" spans="1:17" s="780" customFormat="1" ht="14" hidden="1">
      <c r="A228" s="777" t="str">
        <f>NCong!A402</f>
        <v>VI.1</v>
      </c>
      <c r="B228" s="781" t="str">
        <f>NCong!B402</f>
        <v>CÁC NỘI DUNG THỰC HIỆN TẠI ĐỊA BÀN CẤP TỈNH (TRƯỜNG HỢP CẤP ĐỔI GCN)</v>
      </c>
      <c r="C228" s="777" t="s">
        <v>51</v>
      </c>
      <c r="D228" s="778"/>
      <c r="E228" s="779">
        <f>NCong!K402</f>
        <v>1042357.0904999999</v>
      </c>
      <c r="F228" s="779"/>
      <c r="G228" s="779">
        <f>Dcu!L196</f>
        <v>15071.291897435896</v>
      </c>
      <c r="H228" s="779">
        <f>VLieu!J132</f>
        <v>28488</v>
      </c>
      <c r="I228" s="779">
        <f>Tbi!I114</f>
        <v>16139.142142857143</v>
      </c>
      <c r="J228" s="779">
        <f>Tbi!I121+Dcu!L195</f>
        <v>33686.280599999998</v>
      </c>
      <c r="K228" s="779">
        <f>SUM(E228:J228)</f>
        <v>1135741.805140293</v>
      </c>
      <c r="L228" s="779">
        <f>$L$6*K228</f>
        <v>170361.27077104393</v>
      </c>
      <c r="M228" s="779">
        <f>K228+L228</f>
        <v>1306103.0759113368</v>
      </c>
      <c r="N228" s="779"/>
      <c r="O228" s="779"/>
      <c r="P228" s="779"/>
      <c r="Q228" s="779">
        <f>NCong!N402</f>
        <v>29523.153846153848</v>
      </c>
    </row>
    <row r="229" spans="1:17" s="780" customFormat="1" hidden="1">
      <c r="A229" s="777" t="str">
        <f>NCong!A445</f>
        <v>VI.2</v>
      </c>
      <c r="B229" s="781" t="str">
        <f>NCong!B445</f>
        <v>CÁC NỘI DUNG THỰC HIỆN TẠI ĐỊA BÀN XÃ, PHƯỜNG, ĐẶC KHU</v>
      </c>
      <c r="C229" s="777" t="s">
        <v>51</v>
      </c>
      <c r="D229" s="778"/>
      <c r="E229" s="779">
        <f>NCong!K446</f>
        <v>6417.3450000000003</v>
      </c>
      <c r="F229" s="779"/>
      <c r="G229" s="779">
        <f>Dcu!J196</f>
        <v>133.79876923076924</v>
      </c>
      <c r="H229" s="779">
        <f>VLieu!H132</f>
        <v>1290</v>
      </c>
      <c r="I229" s="779"/>
      <c r="J229" s="779">
        <f>Dcu!J195</f>
        <v>40.067999999999998</v>
      </c>
      <c r="K229" s="779">
        <f>SUM(E229:J229)</f>
        <v>7881.2117692307693</v>
      </c>
      <c r="L229" s="779">
        <f>$L$6*K229</f>
        <v>1182.1817653846153</v>
      </c>
      <c r="M229" s="779">
        <f>K229+L229</f>
        <v>9063.3935346153849</v>
      </c>
      <c r="N229" s="779"/>
      <c r="O229" s="779"/>
      <c r="P229" s="779"/>
      <c r="Q229" s="779">
        <f>NCong!N445</f>
        <v>194.61538461538461</v>
      </c>
    </row>
    <row r="230" spans="1:17" s="769" customFormat="1" ht="10.5" customHeight="1">
      <c r="A230" s="838" t="str">
        <f>NCong!A453</f>
        <v>VII</v>
      </c>
      <c r="B230" s="1081" t="str">
        <f>NCong!B453</f>
        <v>Đăng ký biến động đất đai đối với hộ gia đình, cá nhân, cộng đồng dân cư, người gốc Việt Nam định cư ở nước ngoài</v>
      </c>
      <c r="C230" s="1082"/>
      <c r="D230" s="1082"/>
      <c r="E230" s="1082"/>
      <c r="F230" s="1082"/>
      <c r="G230" s="1082"/>
      <c r="H230" s="1082"/>
      <c r="I230" s="1082"/>
      <c r="J230" s="1082"/>
      <c r="K230" s="1082"/>
      <c r="L230" s="1082"/>
      <c r="M230" s="1082"/>
      <c r="N230" s="1082"/>
      <c r="O230" s="1082"/>
      <c r="P230" s="1082"/>
      <c r="Q230" s="783"/>
    </row>
    <row r="231" spans="1:17" s="769" customFormat="1" ht="14">
      <c r="A231" s="771" t="s">
        <v>231</v>
      </c>
      <c r="B231" s="774" t="s">
        <v>735</v>
      </c>
      <c r="C231" s="774"/>
      <c r="D231" s="774"/>
      <c r="E231" s="783"/>
      <c r="F231" s="783"/>
      <c r="G231" s="783"/>
      <c r="H231" s="783"/>
      <c r="I231" s="783"/>
      <c r="J231" s="783"/>
      <c r="K231" s="776"/>
      <c r="L231" s="776"/>
      <c r="M231" s="776"/>
      <c r="N231" s="776"/>
      <c r="O231" s="776"/>
      <c r="P231" s="776"/>
      <c r="Q231" s="783"/>
    </row>
    <row r="232" spans="1:17" s="769" customFormat="1">
      <c r="A232" s="771">
        <v>1</v>
      </c>
      <c r="B232" s="774" t="s">
        <v>736</v>
      </c>
      <c r="C232" s="800" t="s">
        <v>51</v>
      </c>
      <c r="D232" s="801" t="s">
        <v>31</v>
      </c>
      <c r="E232" s="783">
        <f>E492</f>
        <v>1998289.1280000003</v>
      </c>
      <c r="F232" s="783">
        <f t="shared" ref="F232:J232" si="251">F492</f>
        <v>0</v>
      </c>
      <c r="G232" s="783">
        <f t="shared" si="251"/>
        <v>15756.390384615384</v>
      </c>
      <c r="H232" s="783">
        <f t="shared" si="251"/>
        <v>31754</v>
      </c>
      <c r="I232" s="783">
        <f t="shared" si="251"/>
        <v>9397.9480357142857</v>
      </c>
      <c r="J232" s="783">
        <f t="shared" si="251"/>
        <v>19023.2847</v>
      </c>
      <c r="K232" s="776">
        <f t="shared" ref="K232:K234" si="252">SUM(E232:J232)</f>
        <v>2074220.7511203298</v>
      </c>
      <c r="L232" s="776">
        <f t="shared" ref="L232:L234" si="253">K232*15%</f>
        <v>311133.11266804946</v>
      </c>
      <c r="M232" s="776">
        <f t="shared" ref="M232:M234" si="254">K232+L232</f>
        <v>2385353.8637883794</v>
      </c>
      <c r="N232" s="776">
        <f t="shared" ref="N232:N234" si="255">K232-I232</f>
        <v>2064822.8030846156</v>
      </c>
      <c r="O232" s="776">
        <f t="shared" ref="O232:O234" si="256">$L$6*N232</f>
        <v>309723.42046269233</v>
      </c>
      <c r="P232" s="776">
        <f t="shared" ref="P232:P234" si="257">N232+O232</f>
        <v>2374546.2235473078</v>
      </c>
      <c r="Q232" s="783">
        <f>NCong!N455</f>
        <v>57411.538461538461</v>
      </c>
    </row>
    <row r="233" spans="1:17" s="769" customFormat="1">
      <c r="A233" s="771">
        <v>2</v>
      </c>
      <c r="B233" s="774" t="s">
        <v>737</v>
      </c>
      <c r="C233" s="800" t="s">
        <v>51</v>
      </c>
      <c r="D233" s="801" t="s">
        <v>31</v>
      </c>
      <c r="E233" s="783">
        <f>NCong!L455</f>
        <v>2192193.8940000008</v>
      </c>
      <c r="F233" s="783"/>
      <c r="G233" s="783">
        <f>G492</f>
        <v>15756.390384615384</v>
      </c>
      <c r="H233" s="783">
        <f t="shared" ref="H233:J233" si="258">H492</f>
        <v>31754</v>
      </c>
      <c r="I233" s="783">
        <f t="shared" si="258"/>
        <v>9397.9480357142857</v>
      </c>
      <c r="J233" s="783">
        <f t="shared" si="258"/>
        <v>19023.2847</v>
      </c>
      <c r="K233" s="776">
        <f t="shared" si="252"/>
        <v>2268125.5171203306</v>
      </c>
      <c r="L233" s="776">
        <f t="shared" si="253"/>
        <v>340218.8275680496</v>
      </c>
      <c r="M233" s="776">
        <f t="shared" si="254"/>
        <v>2608344.3446883801</v>
      </c>
      <c r="N233" s="776">
        <f t="shared" si="255"/>
        <v>2258727.5690846164</v>
      </c>
      <c r="O233" s="776">
        <f t="shared" si="256"/>
        <v>338809.13536269247</v>
      </c>
      <c r="P233" s="776">
        <f t="shared" si="257"/>
        <v>2597536.704447309</v>
      </c>
      <c r="Q233" s="783">
        <f>NCong!O455</f>
        <v>63444.615384615376</v>
      </c>
    </row>
    <row r="234" spans="1:17" s="769" customFormat="1">
      <c r="A234" s="802">
        <v>3</v>
      </c>
      <c r="B234" s="803" t="s">
        <v>738</v>
      </c>
      <c r="C234" s="804" t="s">
        <v>51</v>
      </c>
      <c r="D234" s="805" t="s">
        <v>31</v>
      </c>
      <c r="E234" s="806">
        <f>NCong!M455</f>
        <v>2740300.0515000005</v>
      </c>
      <c r="F234" s="806"/>
      <c r="G234" s="806">
        <f>G492*1.3</f>
        <v>20483.307499999999</v>
      </c>
      <c r="H234" s="806">
        <f>H492</f>
        <v>31754</v>
      </c>
      <c r="I234" s="806">
        <f>I492*1.3</f>
        <v>12217.332446428572</v>
      </c>
      <c r="J234" s="806">
        <f>J492*1.3</f>
        <v>24730.270110000001</v>
      </c>
      <c r="K234" s="807">
        <f t="shared" si="252"/>
        <v>2829484.961556429</v>
      </c>
      <c r="L234" s="807">
        <f t="shared" si="253"/>
        <v>424422.74423346436</v>
      </c>
      <c r="M234" s="807">
        <f t="shared" si="254"/>
        <v>3253907.7057898934</v>
      </c>
      <c r="N234" s="807">
        <f t="shared" si="255"/>
        <v>2817267.6291100006</v>
      </c>
      <c r="O234" s="807">
        <f t="shared" si="256"/>
        <v>422590.14436650008</v>
      </c>
      <c r="P234" s="807">
        <f t="shared" si="257"/>
        <v>3239857.7734765005</v>
      </c>
      <c r="Q234" s="806">
        <f>NCong!P455</f>
        <v>79169.538461538439</v>
      </c>
    </row>
    <row r="235" spans="1:17" s="769" customFormat="1" ht="12.75" customHeight="1">
      <c r="A235" s="771" t="s">
        <v>231</v>
      </c>
      <c r="B235" s="774" t="s">
        <v>739</v>
      </c>
      <c r="C235" s="774"/>
      <c r="D235" s="774"/>
      <c r="E235" s="806"/>
      <c r="F235" s="806"/>
      <c r="G235" s="806"/>
      <c r="H235" s="806"/>
      <c r="I235" s="806"/>
      <c r="J235" s="806"/>
      <c r="K235" s="807"/>
      <c r="L235" s="807"/>
      <c r="M235" s="807"/>
      <c r="N235" s="807"/>
      <c r="O235" s="807"/>
      <c r="P235" s="807"/>
      <c r="Q235" s="806"/>
    </row>
    <row r="236" spans="1:17" s="769" customFormat="1">
      <c r="A236" s="771">
        <v>1</v>
      </c>
      <c r="B236" s="774" t="s">
        <v>736</v>
      </c>
      <c r="C236" s="800" t="s">
        <v>51</v>
      </c>
      <c r="D236" s="801" t="s">
        <v>31</v>
      </c>
      <c r="E236" s="806">
        <f>E232</f>
        <v>1998289.1280000003</v>
      </c>
      <c r="F236" s="806"/>
      <c r="G236" s="806">
        <f>G232*0.6</f>
        <v>9453.834230769231</v>
      </c>
      <c r="H236" s="806">
        <f>H232*0.6-VLieu!I145</f>
        <v>10380.399999999998</v>
      </c>
      <c r="I236" s="806">
        <f>I232*0.6</f>
        <v>5638.7688214285708</v>
      </c>
      <c r="J236" s="806">
        <f>J232*0.6</f>
        <v>11413.97082</v>
      </c>
      <c r="K236" s="776">
        <f t="shared" ref="K236:K238" si="259">SUM(E236:J236)</f>
        <v>2035176.1018721978</v>
      </c>
      <c r="L236" s="776">
        <f t="shared" ref="L236:L238" si="260">K236*15%</f>
        <v>305276.41528082965</v>
      </c>
      <c r="M236" s="776">
        <f t="shared" ref="M236:M238" si="261">K236+L236</f>
        <v>2340452.5171530275</v>
      </c>
      <c r="N236" s="776">
        <f t="shared" ref="N236:N238" si="262">K236-I236</f>
        <v>2029537.3330507693</v>
      </c>
      <c r="O236" s="776">
        <f t="shared" ref="O236:O238" si="263">$L$6*N236</f>
        <v>304430.59995761537</v>
      </c>
      <c r="P236" s="776">
        <f t="shared" ref="P236:P238" si="264">N236+O236</f>
        <v>2333967.9330083849</v>
      </c>
      <c r="Q236" s="806">
        <f>NCong!N456</f>
        <v>57411.538461538461</v>
      </c>
    </row>
    <row r="237" spans="1:17" s="769" customFormat="1">
      <c r="A237" s="771">
        <v>2</v>
      </c>
      <c r="B237" s="774" t="s">
        <v>737</v>
      </c>
      <c r="C237" s="800" t="s">
        <v>51</v>
      </c>
      <c r="D237" s="801" t="s">
        <v>31</v>
      </c>
      <c r="E237" s="806">
        <f t="shared" ref="E237:E238" si="265">E233</f>
        <v>2192193.8940000008</v>
      </c>
      <c r="F237" s="806"/>
      <c r="G237" s="806">
        <f t="shared" ref="G237:G238" si="266">G233*0.6</f>
        <v>9453.834230769231</v>
      </c>
      <c r="H237" s="806">
        <f>H236</f>
        <v>10380.399999999998</v>
      </c>
      <c r="I237" s="806">
        <f t="shared" ref="I237:J238" si="267">I233*0.6</f>
        <v>5638.7688214285708</v>
      </c>
      <c r="J237" s="806">
        <f t="shared" si="267"/>
        <v>11413.97082</v>
      </c>
      <c r="K237" s="776">
        <f t="shared" si="259"/>
        <v>2229080.8678721986</v>
      </c>
      <c r="L237" s="776">
        <f t="shared" si="260"/>
        <v>334362.13018082979</v>
      </c>
      <c r="M237" s="776">
        <f t="shared" si="261"/>
        <v>2563442.9980530282</v>
      </c>
      <c r="N237" s="776">
        <f t="shared" si="262"/>
        <v>2223442.09905077</v>
      </c>
      <c r="O237" s="776">
        <f t="shared" si="263"/>
        <v>333516.31485761551</v>
      </c>
      <c r="P237" s="776">
        <f t="shared" si="264"/>
        <v>2556958.4139083857</v>
      </c>
      <c r="Q237" s="806">
        <f>NCong!O456</f>
        <v>63444.615384615376</v>
      </c>
    </row>
    <row r="238" spans="1:17" s="769" customFormat="1">
      <c r="A238" s="802">
        <v>3</v>
      </c>
      <c r="B238" s="803" t="s">
        <v>738</v>
      </c>
      <c r="C238" s="804" t="s">
        <v>51</v>
      </c>
      <c r="D238" s="805" t="s">
        <v>31</v>
      </c>
      <c r="E238" s="806">
        <f t="shared" si="265"/>
        <v>2740300.0515000005</v>
      </c>
      <c r="F238" s="806"/>
      <c r="G238" s="806">
        <f t="shared" si="266"/>
        <v>12289.984499999999</v>
      </c>
      <c r="H238" s="806">
        <f>H236</f>
        <v>10380.399999999998</v>
      </c>
      <c r="I238" s="806">
        <f t="shared" si="267"/>
        <v>7330.3994678571435</v>
      </c>
      <c r="J238" s="806">
        <f t="shared" si="267"/>
        <v>14838.162066000001</v>
      </c>
      <c r="K238" s="776">
        <f t="shared" si="259"/>
        <v>2785138.9975338574</v>
      </c>
      <c r="L238" s="776">
        <f t="shared" si="260"/>
        <v>417770.84963007859</v>
      </c>
      <c r="M238" s="776">
        <f t="shared" si="261"/>
        <v>3202909.8471639361</v>
      </c>
      <c r="N238" s="776">
        <f t="shared" si="262"/>
        <v>2777808.5980660003</v>
      </c>
      <c r="O238" s="776">
        <f t="shared" si="263"/>
        <v>416671.28970990004</v>
      </c>
      <c r="P238" s="776">
        <f t="shared" si="264"/>
        <v>3194479.8877759003</v>
      </c>
      <c r="Q238" s="806">
        <f>NCong!P456</f>
        <v>79169.538461538439</v>
      </c>
    </row>
    <row r="239" spans="1:17" s="769" customFormat="1">
      <c r="A239" s="802"/>
      <c r="B239" s="803" t="s">
        <v>766</v>
      </c>
      <c r="C239" s="804"/>
      <c r="D239" s="805"/>
      <c r="E239" s="806"/>
      <c r="F239" s="806"/>
      <c r="G239" s="806"/>
      <c r="H239" s="806"/>
      <c r="I239" s="806"/>
      <c r="J239" s="806"/>
      <c r="K239" s="807"/>
      <c r="L239" s="807"/>
      <c r="M239" s="807"/>
      <c r="N239" s="807"/>
      <c r="O239" s="807"/>
      <c r="P239" s="807"/>
      <c r="Q239" s="806"/>
    </row>
    <row r="240" spans="1:17" s="769" customFormat="1" ht="14">
      <c r="A240" s="771">
        <v>1</v>
      </c>
      <c r="B240" s="808" t="s">
        <v>248</v>
      </c>
      <c r="C240" s="804" t="s">
        <v>51</v>
      </c>
      <c r="D240" s="801" t="s">
        <v>31</v>
      </c>
      <c r="E240" s="783"/>
      <c r="F240" s="783"/>
      <c r="G240" s="783"/>
      <c r="H240" s="783"/>
      <c r="I240" s="783"/>
      <c r="J240" s="783"/>
      <c r="K240" s="776"/>
      <c r="L240" s="776"/>
      <c r="M240" s="776"/>
      <c r="N240" s="776"/>
      <c r="O240" s="776"/>
      <c r="P240" s="776"/>
      <c r="Q240" s="783"/>
    </row>
    <row r="241" spans="1:17" s="769" customFormat="1">
      <c r="A241" s="771">
        <v>1.1000000000000001</v>
      </c>
      <c r="B241" s="808" t="s">
        <v>771</v>
      </c>
      <c r="C241" s="804"/>
      <c r="D241" s="801"/>
      <c r="E241" s="783"/>
      <c r="F241" s="783"/>
      <c r="G241" s="783"/>
      <c r="H241" s="783"/>
      <c r="I241" s="783"/>
      <c r="J241" s="783"/>
      <c r="K241" s="776"/>
      <c r="L241" s="776"/>
      <c r="M241" s="776"/>
      <c r="N241" s="776"/>
      <c r="O241" s="776"/>
      <c r="P241" s="776"/>
      <c r="Q241" s="783"/>
    </row>
    <row r="242" spans="1:17" s="769" customFormat="1">
      <c r="A242" s="809" t="s">
        <v>767</v>
      </c>
      <c r="B242" s="810" t="s">
        <v>768</v>
      </c>
      <c r="C242" s="804" t="s">
        <v>51</v>
      </c>
      <c r="D242" s="801" t="s">
        <v>31</v>
      </c>
      <c r="E242" s="783">
        <f>E246</f>
        <v>737074.61519999988</v>
      </c>
      <c r="F242" s="783"/>
      <c r="G242" s="783">
        <f>G232</f>
        <v>15756.390384615384</v>
      </c>
      <c r="H242" s="783">
        <f t="shared" ref="H242:J242" si="268">H232</f>
        <v>31754</v>
      </c>
      <c r="I242" s="783">
        <f t="shared" si="268"/>
        <v>9397.9480357142857</v>
      </c>
      <c r="J242" s="783">
        <f t="shared" si="268"/>
        <v>19023.2847</v>
      </c>
      <c r="K242" s="776">
        <f t="shared" ref="K242:K244" si="269">SUM(E242:J242)</f>
        <v>813006.23832032958</v>
      </c>
      <c r="L242" s="776">
        <f t="shared" ref="L242:L244" si="270">K242*15%</f>
        <v>121950.93574804944</v>
      </c>
      <c r="M242" s="776">
        <f t="shared" ref="M242:M244" si="271">K242+L242</f>
        <v>934957.17406837898</v>
      </c>
      <c r="N242" s="776">
        <f t="shared" ref="N242:N244" si="272">K242-I242</f>
        <v>803608.29028461524</v>
      </c>
      <c r="O242" s="776">
        <f t="shared" ref="O242:O244" si="273">$L$6*N242</f>
        <v>120541.24354269227</v>
      </c>
      <c r="P242" s="776">
        <f t="shared" ref="P242:P244" si="274">N242+O242</f>
        <v>924149.53382730752</v>
      </c>
      <c r="Q242" s="783">
        <f>NCong!P511</f>
        <v>22751.784</v>
      </c>
    </row>
    <row r="243" spans="1:17" s="769" customFormat="1">
      <c r="A243" s="809" t="s">
        <v>767</v>
      </c>
      <c r="B243" s="810" t="s">
        <v>769</v>
      </c>
      <c r="C243" s="804" t="s">
        <v>51</v>
      </c>
      <c r="D243" s="801" t="s">
        <v>31</v>
      </c>
      <c r="E243" s="783">
        <f t="shared" ref="E243:E244" si="275">E247</f>
        <v>934413.74234999984</v>
      </c>
      <c r="F243" s="783"/>
      <c r="G243" s="783">
        <f t="shared" ref="G243:J244" si="276">G233</f>
        <v>15756.390384615384</v>
      </c>
      <c r="H243" s="783">
        <f t="shared" si="276"/>
        <v>31754</v>
      </c>
      <c r="I243" s="783">
        <f t="shared" si="276"/>
        <v>9397.9480357142857</v>
      </c>
      <c r="J243" s="783">
        <f t="shared" si="276"/>
        <v>19023.2847</v>
      </c>
      <c r="K243" s="776">
        <f t="shared" si="269"/>
        <v>1010345.3654703295</v>
      </c>
      <c r="L243" s="776">
        <f t="shared" si="270"/>
        <v>151551.80482054941</v>
      </c>
      <c r="M243" s="776">
        <f t="shared" si="271"/>
        <v>1161897.170290879</v>
      </c>
      <c r="N243" s="776">
        <f t="shared" si="272"/>
        <v>1000947.4174346152</v>
      </c>
      <c r="O243" s="776">
        <f t="shared" si="273"/>
        <v>150142.11261519228</v>
      </c>
      <c r="P243" s="776">
        <f t="shared" si="274"/>
        <v>1151089.5300498074</v>
      </c>
      <c r="Q243" s="783">
        <f>NCong!Q511</f>
        <v>28931.075461538458</v>
      </c>
    </row>
    <row r="244" spans="1:17" s="769" customFormat="1">
      <c r="A244" s="809" t="s">
        <v>767</v>
      </c>
      <c r="B244" s="810" t="s">
        <v>770</v>
      </c>
      <c r="C244" s="804" t="s">
        <v>51</v>
      </c>
      <c r="D244" s="801" t="s">
        <v>31</v>
      </c>
      <c r="E244" s="783">
        <f t="shared" si="275"/>
        <v>1157879.3952000001</v>
      </c>
      <c r="F244" s="783"/>
      <c r="G244" s="783">
        <f t="shared" si="276"/>
        <v>20483.307499999999</v>
      </c>
      <c r="H244" s="783">
        <f t="shared" si="276"/>
        <v>31754</v>
      </c>
      <c r="I244" s="783">
        <f t="shared" si="276"/>
        <v>12217.332446428572</v>
      </c>
      <c r="J244" s="783">
        <f t="shared" si="276"/>
        <v>24730.270110000001</v>
      </c>
      <c r="K244" s="776">
        <f t="shared" si="269"/>
        <v>1247064.3052564287</v>
      </c>
      <c r="L244" s="776">
        <f t="shared" si="270"/>
        <v>187059.64578846429</v>
      </c>
      <c r="M244" s="776">
        <f t="shared" si="271"/>
        <v>1434123.9510448929</v>
      </c>
      <c r="N244" s="776">
        <f t="shared" si="272"/>
        <v>1234846.9728100002</v>
      </c>
      <c r="O244" s="776">
        <f t="shared" si="273"/>
        <v>185227.04592150002</v>
      </c>
      <c r="P244" s="776">
        <f t="shared" si="274"/>
        <v>1420074.0187315003</v>
      </c>
      <c r="Q244" s="783">
        <f>NCong!R511</f>
        <v>35739.149769230768</v>
      </c>
    </row>
    <row r="245" spans="1:17" s="769" customFormat="1">
      <c r="A245" s="771">
        <v>1.2</v>
      </c>
      <c r="B245" s="808" t="s">
        <v>772</v>
      </c>
      <c r="C245" s="804"/>
      <c r="D245" s="801"/>
      <c r="E245" s="783"/>
      <c r="F245" s="783"/>
      <c r="G245" s="783"/>
      <c r="H245" s="783"/>
      <c r="I245" s="783"/>
      <c r="J245" s="783"/>
      <c r="K245" s="776"/>
      <c r="L245" s="776"/>
      <c r="M245" s="776"/>
      <c r="N245" s="776"/>
      <c r="O245" s="776"/>
      <c r="P245" s="776"/>
      <c r="Q245" s="783"/>
    </row>
    <row r="246" spans="1:17" s="769" customFormat="1">
      <c r="A246" s="809" t="s">
        <v>767</v>
      </c>
      <c r="B246" s="810" t="s">
        <v>768</v>
      </c>
      <c r="C246" s="804" t="s">
        <v>51</v>
      </c>
      <c r="D246" s="801" t="s">
        <v>31</v>
      </c>
      <c r="E246" s="783">
        <f>NCong!M511</f>
        <v>737074.61519999988</v>
      </c>
      <c r="F246" s="783"/>
      <c r="G246" s="783">
        <f>G232*0.6</f>
        <v>9453.834230769231</v>
      </c>
      <c r="H246" s="783">
        <f>H232*0.6-VLieu!$J$166</f>
        <v>10380.399999999998</v>
      </c>
      <c r="I246" s="783">
        <f t="shared" ref="I246:J248" si="277">I232*0.6</f>
        <v>5638.7688214285708</v>
      </c>
      <c r="J246" s="783">
        <f t="shared" si="277"/>
        <v>11413.97082</v>
      </c>
      <c r="K246" s="776">
        <f t="shared" ref="K246:K248" si="278">SUM(E246:J246)</f>
        <v>773961.58907219768</v>
      </c>
      <c r="L246" s="776">
        <f t="shared" ref="L246:L248" si="279">K246*15%</f>
        <v>116094.23836082965</v>
      </c>
      <c r="M246" s="776">
        <f t="shared" ref="M246:M248" si="280">K246+L246</f>
        <v>890055.82743302733</v>
      </c>
      <c r="N246" s="776">
        <f t="shared" ref="N246:N248" si="281">K246-I246</f>
        <v>768322.82025076915</v>
      </c>
      <c r="O246" s="776">
        <f t="shared" ref="O246:O248" si="282">$L$6*N246</f>
        <v>115248.42303761537</v>
      </c>
      <c r="P246" s="776">
        <f t="shared" ref="P246:P248" si="283">N246+O246</f>
        <v>883571.24328838452</v>
      </c>
      <c r="Q246" s="783">
        <f>Q242</f>
        <v>22751.784</v>
      </c>
    </row>
    <row r="247" spans="1:17" s="769" customFormat="1">
      <c r="A247" s="809" t="s">
        <v>767</v>
      </c>
      <c r="B247" s="810" t="s">
        <v>769</v>
      </c>
      <c r="C247" s="804" t="s">
        <v>51</v>
      </c>
      <c r="D247" s="801" t="s">
        <v>31</v>
      </c>
      <c r="E247" s="783">
        <f>NCong!N511</f>
        <v>934413.74234999984</v>
      </c>
      <c r="F247" s="783"/>
      <c r="G247" s="783">
        <f>G233*0.6</f>
        <v>9453.834230769231</v>
      </c>
      <c r="H247" s="783">
        <f>H233*0.6-VLieu!$J$166</f>
        <v>10380.399999999998</v>
      </c>
      <c r="I247" s="783">
        <f t="shared" si="277"/>
        <v>5638.7688214285708</v>
      </c>
      <c r="J247" s="783">
        <f t="shared" si="277"/>
        <v>11413.97082</v>
      </c>
      <c r="K247" s="776">
        <f t="shared" si="278"/>
        <v>971300.71622219763</v>
      </c>
      <c r="L247" s="776">
        <f t="shared" si="279"/>
        <v>145695.10743332963</v>
      </c>
      <c r="M247" s="776">
        <f t="shared" si="280"/>
        <v>1116995.8236555273</v>
      </c>
      <c r="N247" s="776">
        <f t="shared" si="281"/>
        <v>965661.9474007691</v>
      </c>
      <c r="O247" s="776">
        <f t="shared" si="282"/>
        <v>144849.29211011535</v>
      </c>
      <c r="P247" s="776">
        <f t="shared" si="283"/>
        <v>1110511.2395108845</v>
      </c>
      <c r="Q247" s="783">
        <f t="shared" ref="Q247:Q248" si="284">Q243</f>
        <v>28931.075461538458</v>
      </c>
    </row>
    <row r="248" spans="1:17" s="769" customFormat="1">
      <c r="A248" s="809" t="s">
        <v>767</v>
      </c>
      <c r="B248" s="810" t="s">
        <v>770</v>
      </c>
      <c r="C248" s="804" t="s">
        <v>51</v>
      </c>
      <c r="D248" s="801" t="s">
        <v>31</v>
      </c>
      <c r="E248" s="783">
        <f>NCong!O511</f>
        <v>1157879.3952000001</v>
      </c>
      <c r="F248" s="783"/>
      <c r="G248" s="783">
        <f>G234*0.6</f>
        <v>12289.984499999999</v>
      </c>
      <c r="H248" s="783">
        <f>H234*0.6-VLieu!$J$166</f>
        <v>10380.399999999998</v>
      </c>
      <c r="I248" s="783">
        <f t="shared" si="277"/>
        <v>7330.3994678571435</v>
      </c>
      <c r="J248" s="783">
        <f t="shared" si="277"/>
        <v>14838.162066000001</v>
      </c>
      <c r="K248" s="776">
        <f t="shared" si="278"/>
        <v>1202718.3412338572</v>
      </c>
      <c r="L248" s="776">
        <f t="shared" si="279"/>
        <v>180407.75118507858</v>
      </c>
      <c r="M248" s="776">
        <f t="shared" si="280"/>
        <v>1383126.0924189358</v>
      </c>
      <c r="N248" s="776">
        <f t="shared" si="281"/>
        <v>1195387.9417660001</v>
      </c>
      <c r="O248" s="776">
        <f t="shared" si="282"/>
        <v>179308.1912649</v>
      </c>
      <c r="P248" s="776">
        <f t="shared" si="283"/>
        <v>1374696.1330309</v>
      </c>
      <c r="Q248" s="783">
        <f t="shared" si="284"/>
        <v>35739.149769230768</v>
      </c>
    </row>
    <row r="249" spans="1:17" s="769" customFormat="1" ht="14">
      <c r="A249" s="771">
        <v>2</v>
      </c>
      <c r="B249" s="808" t="s">
        <v>249</v>
      </c>
      <c r="C249" s="804" t="s">
        <v>51</v>
      </c>
      <c r="D249" s="801" t="s">
        <v>31</v>
      </c>
      <c r="E249" s="783"/>
      <c r="F249" s="783"/>
      <c r="G249" s="783"/>
      <c r="H249" s="783"/>
      <c r="I249" s="783"/>
      <c r="J249" s="783"/>
      <c r="K249" s="776"/>
      <c r="L249" s="776"/>
      <c r="M249" s="776"/>
      <c r="N249" s="776"/>
      <c r="O249" s="776"/>
      <c r="P249" s="776"/>
      <c r="Q249" s="783"/>
    </row>
    <row r="250" spans="1:17" s="769" customFormat="1">
      <c r="A250" s="771">
        <v>2.1</v>
      </c>
      <c r="B250" s="808" t="s">
        <v>771</v>
      </c>
      <c r="C250" s="804"/>
      <c r="D250" s="801"/>
      <c r="E250" s="783"/>
      <c r="F250" s="783"/>
      <c r="G250" s="783"/>
      <c r="H250" s="783"/>
      <c r="I250" s="783"/>
      <c r="J250" s="783"/>
      <c r="K250" s="776"/>
      <c r="L250" s="776"/>
      <c r="M250" s="776"/>
      <c r="N250" s="776"/>
      <c r="O250" s="776"/>
      <c r="P250" s="776"/>
      <c r="Q250" s="783"/>
    </row>
    <row r="251" spans="1:17" s="769" customFormat="1">
      <c r="A251" s="809" t="s">
        <v>767</v>
      </c>
      <c r="B251" s="810" t="s">
        <v>768</v>
      </c>
      <c r="C251" s="804" t="s">
        <v>51</v>
      </c>
      <c r="D251" s="801" t="s">
        <v>31</v>
      </c>
      <c r="E251" s="783">
        <f>E255</f>
        <v>734346.16199999989</v>
      </c>
      <c r="F251" s="783"/>
      <c r="G251" s="783">
        <f>G232</f>
        <v>15756.390384615384</v>
      </c>
      <c r="H251" s="783">
        <f t="shared" ref="H251:J251" si="285">H232</f>
        <v>31754</v>
      </c>
      <c r="I251" s="783">
        <f t="shared" si="285"/>
        <v>9397.9480357142857</v>
      </c>
      <c r="J251" s="783">
        <f t="shared" si="285"/>
        <v>19023.2847</v>
      </c>
      <c r="K251" s="776">
        <f t="shared" ref="K251:K253" si="286">SUM(E251:J251)</f>
        <v>810277.78512032959</v>
      </c>
      <c r="L251" s="776">
        <f t="shared" ref="L251:L253" si="287">K251*15%</f>
        <v>121541.66776804943</v>
      </c>
      <c r="M251" s="776">
        <f t="shared" ref="M251:M253" si="288">K251+L251</f>
        <v>931819.45288837899</v>
      </c>
      <c r="N251" s="776">
        <f t="shared" ref="N251:N253" si="289">K251-I251</f>
        <v>800879.83708461525</v>
      </c>
      <c r="O251" s="776">
        <f t="shared" ref="O251:O253" si="290">$L$6*N251</f>
        <v>120131.97556269229</v>
      </c>
      <c r="P251" s="776">
        <f t="shared" ref="P251:P253" si="291">N251+O251</f>
        <v>921011.81264730752</v>
      </c>
      <c r="Q251" s="783">
        <f>NCong!P512</f>
        <v>22678.141538461536</v>
      </c>
    </row>
    <row r="252" spans="1:17" s="769" customFormat="1">
      <c r="A252" s="809" t="s">
        <v>767</v>
      </c>
      <c r="B252" s="810" t="s">
        <v>769</v>
      </c>
      <c r="C252" s="804" t="s">
        <v>51</v>
      </c>
      <c r="D252" s="801" t="s">
        <v>31</v>
      </c>
      <c r="E252" s="783">
        <f t="shared" ref="E252:E253" si="292">E256</f>
        <v>930646.61662499979</v>
      </c>
      <c r="F252" s="783"/>
      <c r="G252" s="783">
        <f t="shared" ref="G252:J253" si="293">G233</f>
        <v>15756.390384615384</v>
      </c>
      <c r="H252" s="783">
        <f t="shared" si="293"/>
        <v>31754</v>
      </c>
      <c r="I252" s="783">
        <f t="shared" si="293"/>
        <v>9397.9480357142857</v>
      </c>
      <c r="J252" s="783">
        <f t="shared" si="293"/>
        <v>19023.2847</v>
      </c>
      <c r="K252" s="776">
        <f t="shared" si="286"/>
        <v>1006578.2397453295</v>
      </c>
      <c r="L252" s="776">
        <f t="shared" si="287"/>
        <v>150986.73596179942</v>
      </c>
      <c r="M252" s="776">
        <f t="shared" si="288"/>
        <v>1157564.9757071289</v>
      </c>
      <c r="N252" s="776">
        <f t="shared" si="289"/>
        <v>997180.29170961515</v>
      </c>
      <c r="O252" s="776">
        <f t="shared" si="290"/>
        <v>149577.04375644226</v>
      </c>
      <c r="P252" s="776">
        <f t="shared" si="291"/>
        <v>1146757.3354660575</v>
      </c>
      <c r="Q252" s="783">
        <f>NCong!Q512</f>
        <v>28829.39865384615</v>
      </c>
    </row>
    <row r="253" spans="1:17" s="769" customFormat="1">
      <c r="A253" s="809" t="s">
        <v>767</v>
      </c>
      <c r="B253" s="810" t="s">
        <v>770</v>
      </c>
      <c r="C253" s="804" t="s">
        <v>51</v>
      </c>
      <c r="D253" s="801" t="s">
        <v>31</v>
      </c>
      <c r="E253" s="783">
        <f t="shared" si="292"/>
        <v>1151042.7596249999</v>
      </c>
      <c r="F253" s="783"/>
      <c r="G253" s="783">
        <f t="shared" si="293"/>
        <v>20483.307499999999</v>
      </c>
      <c r="H253" s="783">
        <f t="shared" si="293"/>
        <v>31754</v>
      </c>
      <c r="I253" s="783">
        <f t="shared" si="293"/>
        <v>12217.332446428572</v>
      </c>
      <c r="J253" s="783">
        <f t="shared" si="293"/>
        <v>24730.270110000001</v>
      </c>
      <c r="K253" s="776">
        <f t="shared" si="286"/>
        <v>1240227.6696814285</v>
      </c>
      <c r="L253" s="776">
        <f t="shared" si="287"/>
        <v>186034.15045221426</v>
      </c>
      <c r="M253" s="776">
        <f t="shared" si="288"/>
        <v>1426261.8201336428</v>
      </c>
      <c r="N253" s="776">
        <f t="shared" si="289"/>
        <v>1228010.337235</v>
      </c>
      <c r="O253" s="776">
        <f t="shared" si="290"/>
        <v>184201.55058524999</v>
      </c>
      <c r="P253" s="776">
        <f t="shared" si="291"/>
        <v>1412211.8878202499</v>
      </c>
      <c r="Q253" s="783">
        <f>NCong!R512</f>
        <v>35554.625192307692</v>
      </c>
    </row>
    <row r="254" spans="1:17" s="769" customFormat="1">
      <c r="A254" s="771">
        <v>2.2000000000000002</v>
      </c>
      <c r="B254" s="808" t="s">
        <v>772</v>
      </c>
      <c r="C254" s="804"/>
      <c r="D254" s="801"/>
      <c r="E254" s="783"/>
      <c r="F254" s="783"/>
      <c r="G254" s="783"/>
      <c r="H254" s="783"/>
      <c r="I254" s="783"/>
      <c r="J254" s="783"/>
      <c r="K254" s="776"/>
      <c r="L254" s="776"/>
      <c r="M254" s="776"/>
      <c r="N254" s="776"/>
      <c r="O254" s="776"/>
      <c r="P254" s="776"/>
      <c r="Q254" s="783"/>
    </row>
    <row r="255" spans="1:17" s="769" customFormat="1">
      <c r="A255" s="809" t="s">
        <v>767</v>
      </c>
      <c r="B255" s="810" t="s">
        <v>768</v>
      </c>
      <c r="C255" s="804" t="s">
        <v>51</v>
      </c>
      <c r="D255" s="801" t="s">
        <v>31</v>
      </c>
      <c r="E255" s="783">
        <f>NCong!M512</f>
        <v>734346.16199999989</v>
      </c>
      <c r="F255" s="783"/>
      <c r="G255" s="783">
        <f>G246</f>
        <v>9453.834230769231</v>
      </c>
      <c r="H255" s="783">
        <f t="shared" ref="H255:J255" si="294">H246</f>
        <v>10380.399999999998</v>
      </c>
      <c r="I255" s="783">
        <f t="shared" si="294"/>
        <v>5638.7688214285708</v>
      </c>
      <c r="J255" s="783">
        <f t="shared" si="294"/>
        <v>11413.97082</v>
      </c>
      <c r="K255" s="776">
        <f t="shared" ref="K255:K257" si="295">SUM(E255:J255)</f>
        <v>771233.13587219769</v>
      </c>
      <c r="L255" s="776">
        <f t="shared" ref="L255:L257" si="296">K255*15%</f>
        <v>115684.97038082965</v>
      </c>
      <c r="M255" s="776">
        <f t="shared" ref="M255:M257" si="297">K255+L255</f>
        <v>886918.10625302733</v>
      </c>
      <c r="N255" s="776">
        <f t="shared" ref="N255:N257" si="298">K255-I255</f>
        <v>765594.36705076916</v>
      </c>
      <c r="O255" s="776">
        <f t="shared" ref="O255:O257" si="299">$L$6*N255</f>
        <v>114839.15505761537</v>
      </c>
      <c r="P255" s="776">
        <f t="shared" ref="P255:P257" si="300">N255+O255</f>
        <v>880433.52210838452</v>
      </c>
      <c r="Q255" s="783">
        <f>Q251</f>
        <v>22678.141538461536</v>
      </c>
    </row>
    <row r="256" spans="1:17" s="769" customFormat="1">
      <c r="A256" s="809" t="s">
        <v>767</v>
      </c>
      <c r="B256" s="810" t="s">
        <v>769</v>
      </c>
      <c r="C256" s="804" t="s">
        <v>51</v>
      </c>
      <c r="D256" s="801" t="s">
        <v>31</v>
      </c>
      <c r="E256" s="783">
        <f>NCong!N512</f>
        <v>930646.61662499979</v>
      </c>
      <c r="F256" s="783"/>
      <c r="G256" s="783">
        <f t="shared" ref="G256:J257" si="301">G247</f>
        <v>9453.834230769231</v>
      </c>
      <c r="H256" s="783">
        <f t="shared" si="301"/>
        <v>10380.399999999998</v>
      </c>
      <c r="I256" s="783">
        <f t="shared" si="301"/>
        <v>5638.7688214285708</v>
      </c>
      <c r="J256" s="783">
        <f t="shared" si="301"/>
        <v>11413.97082</v>
      </c>
      <c r="K256" s="776">
        <f t="shared" si="295"/>
        <v>967533.59049719758</v>
      </c>
      <c r="L256" s="776">
        <f t="shared" si="296"/>
        <v>145130.03857457964</v>
      </c>
      <c r="M256" s="776">
        <f t="shared" si="297"/>
        <v>1112663.6290717772</v>
      </c>
      <c r="N256" s="776">
        <f t="shared" si="298"/>
        <v>961894.82167576905</v>
      </c>
      <c r="O256" s="776">
        <f t="shared" si="299"/>
        <v>144284.22325136536</v>
      </c>
      <c r="P256" s="776">
        <f t="shared" si="300"/>
        <v>1106179.0449271344</v>
      </c>
      <c r="Q256" s="783">
        <f t="shared" ref="Q256:Q257" si="302">Q252</f>
        <v>28829.39865384615</v>
      </c>
    </row>
    <row r="257" spans="1:17" s="769" customFormat="1">
      <c r="A257" s="809" t="s">
        <v>767</v>
      </c>
      <c r="B257" s="810" t="s">
        <v>770</v>
      </c>
      <c r="C257" s="804" t="s">
        <v>51</v>
      </c>
      <c r="D257" s="801" t="s">
        <v>31</v>
      </c>
      <c r="E257" s="783">
        <f>NCong!O512</f>
        <v>1151042.7596249999</v>
      </c>
      <c r="F257" s="783"/>
      <c r="G257" s="783">
        <f t="shared" si="301"/>
        <v>12289.984499999999</v>
      </c>
      <c r="H257" s="783">
        <f t="shared" si="301"/>
        <v>10380.399999999998</v>
      </c>
      <c r="I257" s="783">
        <f t="shared" si="301"/>
        <v>7330.3994678571435</v>
      </c>
      <c r="J257" s="783">
        <f t="shared" si="301"/>
        <v>14838.162066000001</v>
      </c>
      <c r="K257" s="776">
        <f t="shared" si="295"/>
        <v>1195881.705658857</v>
      </c>
      <c r="L257" s="776">
        <f t="shared" si="296"/>
        <v>179382.25584882856</v>
      </c>
      <c r="M257" s="776">
        <f t="shared" si="297"/>
        <v>1375263.9615076855</v>
      </c>
      <c r="N257" s="776">
        <f t="shared" si="298"/>
        <v>1188551.3061909999</v>
      </c>
      <c r="O257" s="776">
        <f t="shared" si="299"/>
        <v>178282.69592864998</v>
      </c>
      <c r="P257" s="776">
        <f t="shared" si="300"/>
        <v>1366834.0021196499</v>
      </c>
      <c r="Q257" s="783">
        <f t="shared" si="302"/>
        <v>35554.625192307692</v>
      </c>
    </row>
    <row r="258" spans="1:17" s="769" customFormat="1">
      <c r="A258" s="771">
        <v>3</v>
      </c>
      <c r="B258" s="808" t="s">
        <v>250</v>
      </c>
      <c r="C258" s="804" t="s">
        <v>51</v>
      </c>
      <c r="D258" s="801" t="s">
        <v>31</v>
      </c>
      <c r="E258" s="783"/>
      <c r="F258" s="783"/>
      <c r="G258" s="783"/>
      <c r="H258" s="783"/>
      <c r="I258" s="783"/>
      <c r="J258" s="783"/>
      <c r="K258" s="776"/>
      <c r="L258" s="776"/>
      <c r="M258" s="776"/>
      <c r="N258" s="776"/>
      <c r="O258" s="776"/>
      <c r="P258" s="776"/>
      <c r="Q258" s="783"/>
    </row>
    <row r="259" spans="1:17" s="769" customFormat="1">
      <c r="A259" s="811">
        <v>3.1</v>
      </c>
      <c r="B259" s="808" t="s">
        <v>771</v>
      </c>
      <c r="C259" s="804" t="s">
        <v>51</v>
      </c>
      <c r="D259" s="801" t="s">
        <v>31</v>
      </c>
      <c r="E259" s="783"/>
      <c r="F259" s="783"/>
      <c r="G259" s="783"/>
      <c r="H259" s="783"/>
      <c r="I259" s="783"/>
      <c r="J259" s="783"/>
      <c r="K259" s="776"/>
      <c r="L259" s="776"/>
      <c r="M259" s="776"/>
      <c r="N259" s="776"/>
      <c r="O259" s="776"/>
      <c r="P259" s="776"/>
      <c r="Q259" s="783"/>
    </row>
    <row r="260" spans="1:17" s="769" customFormat="1">
      <c r="A260" s="809" t="s">
        <v>767</v>
      </c>
      <c r="B260" s="810" t="s">
        <v>768</v>
      </c>
      <c r="C260" s="804" t="s">
        <v>51</v>
      </c>
      <c r="D260" s="801" t="s">
        <v>31</v>
      </c>
      <c r="E260" s="783">
        <f>NCong!M513</f>
        <v>731036.54249999986</v>
      </c>
      <c r="F260" s="783"/>
      <c r="G260" s="783">
        <f t="shared" ref="G260:J262" si="303">G232</f>
        <v>15756.390384615384</v>
      </c>
      <c r="H260" s="783">
        <f t="shared" si="303"/>
        <v>31754</v>
      </c>
      <c r="I260" s="783">
        <f t="shared" si="303"/>
        <v>9397.9480357142857</v>
      </c>
      <c r="J260" s="783">
        <f t="shared" si="303"/>
        <v>19023.2847</v>
      </c>
      <c r="K260" s="776">
        <f t="shared" ref="K260:K262" si="304">SUM(E260:J260)</f>
        <v>806968.16562032956</v>
      </c>
      <c r="L260" s="776">
        <f t="shared" ref="L260:L262" si="305">K260*15%</f>
        <v>121045.22484304942</v>
      </c>
      <c r="M260" s="776">
        <f t="shared" ref="M260:M262" si="306">K260+L260</f>
        <v>928013.39046337898</v>
      </c>
      <c r="N260" s="776">
        <f t="shared" ref="N260:N262" si="307">K260-I260</f>
        <v>797570.21758461522</v>
      </c>
      <c r="O260" s="776">
        <f t="shared" ref="O260:O262" si="308">$L$6*N260</f>
        <v>119635.53263769227</v>
      </c>
      <c r="P260" s="776">
        <f t="shared" ref="P260:P262" si="309">N260+O260</f>
        <v>917205.75022230751</v>
      </c>
      <c r="Q260" s="783">
        <f>NCong!P513</f>
        <v>22642.332307692304</v>
      </c>
    </row>
    <row r="261" spans="1:17" s="769" customFormat="1">
      <c r="A261" s="809" t="s">
        <v>767</v>
      </c>
      <c r="B261" s="810" t="s">
        <v>769</v>
      </c>
      <c r="C261" s="804" t="s">
        <v>51</v>
      </c>
      <c r="D261" s="801" t="s">
        <v>31</v>
      </c>
      <c r="E261" s="783">
        <f>NCong!N513</f>
        <v>903926.30624999979</v>
      </c>
      <c r="F261" s="783"/>
      <c r="G261" s="783">
        <f t="shared" si="303"/>
        <v>15756.390384615384</v>
      </c>
      <c r="H261" s="783">
        <f t="shared" si="303"/>
        <v>31754</v>
      </c>
      <c r="I261" s="783">
        <f t="shared" si="303"/>
        <v>9397.9480357142857</v>
      </c>
      <c r="J261" s="783">
        <f t="shared" si="303"/>
        <v>19023.2847</v>
      </c>
      <c r="K261" s="776">
        <f t="shared" si="304"/>
        <v>979857.92937032948</v>
      </c>
      <c r="L261" s="776">
        <f t="shared" si="305"/>
        <v>146978.6894055494</v>
      </c>
      <c r="M261" s="776">
        <f t="shared" si="306"/>
        <v>1126836.6187758788</v>
      </c>
      <c r="N261" s="776">
        <f t="shared" si="307"/>
        <v>970459.98133461515</v>
      </c>
      <c r="O261" s="776">
        <f t="shared" si="308"/>
        <v>145568.99720019227</v>
      </c>
      <c r="P261" s="776">
        <f t="shared" si="309"/>
        <v>1116028.9785348075</v>
      </c>
      <c r="Q261" s="783">
        <f>NCong!Q513</f>
        <v>28108.202692307688</v>
      </c>
    </row>
    <row r="262" spans="1:17" s="769" customFormat="1">
      <c r="A262" s="809" t="s">
        <v>767</v>
      </c>
      <c r="B262" s="810" t="s">
        <v>770</v>
      </c>
      <c r="C262" s="804" t="s">
        <v>51</v>
      </c>
      <c r="D262" s="801" t="s">
        <v>31</v>
      </c>
      <c r="E262" s="783">
        <f>NCong!O513</f>
        <v>1118593.7070000002</v>
      </c>
      <c r="F262" s="783"/>
      <c r="G262" s="783">
        <f t="shared" si="303"/>
        <v>20483.307499999999</v>
      </c>
      <c r="H262" s="783">
        <f t="shared" si="303"/>
        <v>31754</v>
      </c>
      <c r="I262" s="783">
        <f t="shared" si="303"/>
        <v>12217.332446428572</v>
      </c>
      <c r="J262" s="783">
        <f t="shared" si="303"/>
        <v>24730.270110000001</v>
      </c>
      <c r="K262" s="776">
        <f t="shared" si="304"/>
        <v>1207778.6170564287</v>
      </c>
      <c r="L262" s="776">
        <f t="shared" si="305"/>
        <v>181166.79255846431</v>
      </c>
      <c r="M262" s="776">
        <f t="shared" si="306"/>
        <v>1388945.4096148929</v>
      </c>
      <c r="N262" s="776">
        <f t="shared" si="307"/>
        <v>1195561.2846100002</v>
      </c>
      <c r="O262" s="776">
        <f t="shared" si="308"/>
        <v>179334.19269150004</v>
      </c>
      <c r="P262" s="776">
        <f t="shared" si="309"/>
        <v>1374895.4773015003</v>
      </c>
      <c r="Q262" s="783">
        <f>NCong!R513</f>
        <v>34732.32653846153</v>
      </c>
    </row>
    <row r="263" spans="1:17" s="769" customFormat="1">
      <c r="A263" s="811">
        <v>3.2</v>
      </c>
      <c r="B263" s="808" t="s">
        <v>772</v>
      </c>
      <c r="C263" s="804" t="s">
        <v>51</v>
      </c>
      <c r="D263" s="801" t="s">
        <v>31</v>
      </c>
      <c r="E263" s="783"/>
      <c r="F263" s="783"/>
      <c r="G263" s="783"/>
      <c r="H263" s="783"/>
      <c r="I263" s="783"/>
      <c r="J263" s="783"/>
      <c r="K263" s="776"/>
      <c r="L263" s="776"/>
      <c r="M263" s="776"/>
      <c r="N263" s="776"/>
      <c r="O263" s="776"/>
      <c r="P263" s="776"/>
      <c r="Q263" s="783"/>
    </row>
    <row r="264" spans="1:17" s="769" customFormat="1">
      <c r="A264" s="809" t="s">
        <v>767</v>
      </c>
      <c r="B264" s="810" t="s">
        <v>768</v>
      </c>
      <c r="C264" s="804" t="s">
        <v>51</v>
      </c>
      <c r="D264" s="801" t="s">
        <v>31</v>
      </c>
      <c r="E264" s="783">
        <f>E260</f>
        <v>731036.54249999986</v>
      </c>
      <c r="F264" s="783"/>
      <c r="G264" s="783">
        <f>G255</f>
        <v>9453.834230769231</v>
      </c>
      <c r="H264" s="783">
        <f t="shared" ref="H264:J264" si="310">H255</f>
        <v>10380.399999999998</v>
      </c>
      <c r="I264" s="783">
        <f t="shared" si="310"/>
        <v>5638.7688214285708</v>
      </c>
      <c r="J264" s="783">
        <f t="shared" si="310"/>
        <v>11413.97082</v>
      </c>
      <c r="K264" s="776">
        <f t="shared" ref="K264:K266" si="311">SUM(E264:J264)</f>
        <v>767923.51637219766</v>
      </c>
      <c r="L264" s="776">
        <f t="shared" ref="L264:L266" si="312">K264*15%</f>
        <v>115188.52745582965</v>
      </c>
      <c r="M264" s="776">
        <f t="shared" ref="M264:M266" si="313">K264+L264</f>
        <v>883112.04382802732</v>
      </c>
      <c r="N264" s="776">
        <f t="shared" ref="N264:N266" si="314">K264-I264</f>
        <v>762284.74755076913</v>
      </c>
      <c r="O264" s="776">
        <f t="shared" ref="O264:O266" si="315">$L$6*N264</f>
        <v>114342.71213261537</v>
      </c>
      <c r="P264" s="776">
        <f t="shared" ref="P264:P266" si="316">N264+O264</f>
        <v>876627.45968338451</v>
      </c>
      <c r="Q264" s="783">
        <f>Q260</f>
        <v>22642.332307692304</v>
      </c>
    </row>
    <row r="265" spans="1:17" s="769" customFormat="1">
      <c r="A265" s="809" t="s">
        <v>767</v>
      </c>
      <c r="B265" s="810" t="s">
        <v>769</v>
      </c>
      <c r="C265" s="804" t="s">
        <v>51</v>
      </c>
      <c r="D265" s="801" t="s">
        <v>31</v>
      </c>
      <c r="E265" s="783">
        <f t="shared" ref="E265:E266" si="317">E261</f>
        <v>903926.30624999979</v>
      </c>
      <c r="F265" s="783"/>
      <c r="G265" s="783">
        <f t="shared" ref="G265:J266" si="318">G256</f>
        <v>9453.834230769231</v>
      </c>
      <c r="H265" s="783">
        <f t="shared" si="318"/>
        <v>10380.399999999998</v>
      </c>
      <c r="I265" s="783">
        <f t="shared" si="318"/>
        <v>5638.7688214285708</v>
      </c>
      <c r="J265" s="783">
        <f t="shared" si="318"/>
        <v>11413.97082</v>
      </c>
      <c r="K265" s="776">
        <f t="shared" si="311"/>
        <v>940813.28012219758</v>
      </c>
      <c r="L265" s="776">
        <f t="shared" si="312"/>
        <v>141121.99201832962</v>
      </c>
      <c r="M265" s="776">
        <f t="shared" si="313"/>
        <v>1081935.2721405271</v>
      </c>
      <c r="N265" s="776">
        <f t="shared" si="314"/>
        <v>935174.51130076905</v>
      </c>
      <c r="O265" s="776">
        <f t="shared" si="315"/>
        <v>140276.17669511534</v>
      </c>
      <c r="P265" s="776">
        <f t="shared" si="316"/>
        <v>1075450.6879958843</v>
      </c>
      <c r="Q265" s="783">
        <f t="shared" ref="Q265:Q266" si="319">Q261</f>
        <v>28108.202692307688</v>
      </c>
    </row>
    <row r="266" spans="1:17" s="769" customFormat="1">
      <c r="A266" s="809" t="s">
        <v>767</v>
      </c>
      <c r="B266" s="810" t="s">
        <v>770</v>
      </c>
      <c r="C266" s="804" t="s">
        <v>51</v>
      </c>
      <c r="D266" s="801" t="s">
        <v>31</v>
      </c>
      <c r="E266" s="783">
        <f t="shared" si="317"/>
        <v>1118593.7070000002</v>
      </c>
      <c r="F266" s="783"/>
      <c r="G266" s="783">
        <f t="shared" si="318"/>
        <v>12289.984499999999</v>
      </c>
      <c r="H266" s="783">
        <f t="shared" si="318"/>
        <v>10380.399999999998</v>
      </c>
      <c r="I266" s="783">
        <f t="shared" si="318"/>
        <v>7330.3994678571435</v>
      </c>
      <c r="J266" s="783">
        <f t="shared" si="318"/>
        <v>14838.162066000001</v>
      </c>
      <c r="K266" s="776">
        <f t="shared" si="311"/>
        <v>1163432.6530338572</v>
      </c>
      <c r="L266" s="776">
        <f t="shared" si="312"/>
        <v>174514.89795507857</v>
      </c>
      <c r="M266" s="776">
        <f t="shared" si="313"/>
        <v>1337947.5509889359</v>
      </c>
      <c r="N266" s="776">
        <f t="shared" si="314"/>
        <v>1156102.2535660001</v>
      </c>
      <c r="O266" s="776">
        <f t="shared" si="315"/>
        <v>173415.33803490002</v>
      </c>
      <c r="P266" s="776">
        <f t="shared" si="316"/>
        <v>1329517.5916009001</v>
      </c>
      <c r="Q266" s="783">
        <f t="shared" si="319"/>
        <v>34732.32653846153</v>
      </c>
    </row>
    <row r="267" spans="1:17" s="769" customFormat="1" ht="14">
      <c r="A267" s="771">
        <v>4</v>
      </c>
      <c r="B267" s="808" t="s">
        <v>251</v>
      </c>
      <c r="C267" s="804" t="s">
        <v>51</v>
      </c>
      <c r="D267" s="801" t="s">
        <v>31</v>
      </c>
      <c r="E267" s="783"/>
      <c r="F267" s="783"/>
      <c r="G267" s="783"/>
      <c r="H267" s="783"/>
      <c r="I267" s="783"/>
      <c r="J267" s="783"/>
      <c r="K267" s="776"/>
      <c r="L267" s="776"/>
      <c r="M267" s="776"/>
      <c r="N267" s="776"/>
      <c r="O267" s="776"/>
      <c r="P267" s="776"/>
      <c r="Q267" s="783"/>
    </row>
    <row r="268" spans="1:17" s="769" customFormat="1">
      <c r="A268" s="771">
        <v>4.0999999999999996</v>
      </c>
      <c r="B268" s="808" t="s">
        <v>771</v>
      </c>
      <c r="C268" s="804" t="s">
        <v>51</v>
      </c>
      <c r="D268" s="801" t="s">
        <v>31</v>
      </c>
      <c r="E268" s="783"/>
      <c r="F268" s="783"/>
      <c r="G268" s="783"/>
      <c r="H268" s="783"/>
      <c r="I268" s="783"/>
      <c r="J268" s="783"/>
      <c r="K268" s="776"/>
      <c r="L268" s="776"/>
      <c r="M268" s="776"/>
      <c r="N268" s="776"/>
      <c r="O268" s="776"/>
      <c r="P268" s="776"/>
      <c r="Q268" s="783"/>
    </row>
    <row r="269" spans="1:17" s="769" customFormat="1">
      <c r="A269" s="809" t="s">
        <v>767</v>
      </c>
      <c r="B269" s="810" t="s">
        <v>768</v>
      </c>
      <c r="C269" s="804" t="s">
        <v>51</v>
      </c>
      <c r="D269" s="801" t="s">
        <v>31</v>
      </c>
      <c r="E269" s="783">
        <f>NCong!M514</f>
        <v>597668.25029999996</v>
      </c>
      <c r="F269" s="783"/>
      <c r="G269" s="783">
        <f t="shared" ref="G269:J271" si="320">G232</f>
        <v>15756.390384615384</v>
      </c>
      <c r="H269" s="783">
        <f t="shared" si="320"/>
        <v>31754</v>
      </c>
      <c r="I269" s="783">
        <f t="shared" si="320"/>
        <v>9397.9480357142857</v>
      </c>
      <c r="J269" s="783">
        <f t="shared" si="320"/>
        <v>19023.2847</v>
      </c>
      <c r="K269" s="776">
        <f t="shared" ref="K269:K271" si="321">SUM(E269:J269)</f>
        <v>673599.87342032965</v>
      </c>
      <c r="L269" s="776">
        <f t="shared" ref="L269:L271" si="322">K269*15%</f>
        <v>101039.98101304944</v>
      </c>
      <c r="M269" s="776">
        <f t="shared" ref="M269:M271" si="323">K269+L269</f>
        <v>774639.85443337914</v>
      </c>
      <c r="N269" s="776">
        <f t="shared" ref="N269:N271" si="324">K269-I269</f>
        <v>664201.92538461532</v>
      </c>
      <c r="O269" s="776">
        <f t="shared" ref="O269:O271" si="325">$L$6*N269</f>
        <v>99630.288807692297</v>
      </c>
      <c r="P269" s="776">
        <f t="shared" ref="P269:P271" si="326">N269+O269</f>
        <v>763832.21419230755</v>
      </c>
      <c r="Q269" s="783">
        <f>NCong!P514</f>
        <v>18593.086769230766</v>
      </c>
    </row>
    <row r="270" spans="1:17" s="769" customFormat="1">
      <c r="A270" s="809" t="s">
        <v>767</v>
      </c>
      <c r="B270" s="810" t="s">
        <v>769</v>
      </c>
      <c r="C270" s="804" t="s">
        <v>51</v>
      </c>
      <c r="D270" s="801" t="s">
        <v>31</v>
      </c>
      <c r="E270" s="783">
        <f>NCong!N514</f>
        <v>787132.79039999994</v>
      </c>
      <c r="F270" s="783"/>
      <c r="G270" s="783">
        <f t="shared" si="320"/>
        <v>15756.390384615384</v>
      </c>
      <c r="H270" s="783">
        <f t="shared" si="320"/>
        <v>31754</v>
      </c>
      <c r="I270" s="783">
        <f t="shared" si="320"/>
        <v>9397.9480357142857</v>
      </c>
      <c r="J270" s="783">
        <f t="shared" si="320"/>
        <v>19023.2847</v>
      </c>
      <c r="K270" s="776">
        <f t="shared" si="321"/>
        <v>863064.41352032963</v>
      </c>
      <c r="L270" s="776">
        <f t="shared" si="322"/>
        <v>129459.66202804944</v>
      </c>
      <c r="M270" s="776">
        <f t="shared" si="323"/>
        <v>992524.0755483791</v>
      </c>
      <c r="N270" s="776">
        <f t="shared" si="324"/>
        <v>853666.4654846153</v>
      </c>
      <c r="O270" s="776">
        <f t="shared" si="325"/>
        <v>128049.96982269229</v>
      </c>
      <c r="P270" s="776">
        <f t="shared" si="326"/>
        <v>981716.43530730763</v>
      </c>
      <c r="Q270" s="783">
        <f>NCong!Q514</f>
        <v>24559.838769230766</v>
      </c>
    </row>
    <row r="271" spans="1:17" s="769" customFormat="1">
      <c r="A271" s="809" t="s">
        <v>767</v>
      </c>
      <c r="B271" s="810" t="s">
        <v>770</v>
      </c>
      <c r="C271" s="804" t="s">
        <v>51</v>
      </c>
      <c r="D271" s="801" t="s">
        <v>31</v>
      </c>
      <c r="E271" s="783">
        <f>NCong!O514</f>
        <v>963583.09905000008</v>
      </c>
      <c r="F271" s="783"/>
      <c r="G271" s="783">
        <f t="shared" si="320"/>
        <v>20483.307499999999</v>
      </c>
      <c r="H271" s="783">
        <f t="shared" si="320"/>
        <v>31754</v>
      </c>
      <c r="I271" s="783">
        <f t="shared" si="320"/>
        <v>12217.332446428572</v>
      </c>
      <c r="J271" s="783">
        <f t="shared" si="320"/>
        <v>24730.270110000001</v>
      </c>
      <c r="K271" s="776">
        <f t="shared" si="321"/>
        <v>1052768.0091064286</v>
      </c>
      <c r="L271" s="776">
        <f t="shared" si="322"/>
        <v>157915.20136596428</v>
      </c>
      <c r="M271" s="776">
        <f t="shared" si="323"/>
        <v>1210683.2104723928</v>
      </c>
      <c r="N271" s="776">
        <f t="shared" si="324"/>
        <v>1040550.67666</v>
      </c>
      <c r="O271" s="776">
        <f t="shared" si="325"/>
        <v>156082.60149899998</v>
      </c>
      <c r="P271" s="776">
        <f t="shared" si="326"/>
        <v>1196633.278159</v>
      </c>
      <c r="Q271" s="783">
        <f>NCong!R514</f>
        <v>30019.734461538457</v>
      </c>
    </row>
    <row r="272" spans="1:17" s="769" customFormat="1">
      <c r="A272" s="771">
        <v>4.2</v>
      </c>
      <c r="B272" s="808" t="s">
        <v>772</v>
      </c>
      <c r="C272" s="804" t="s">
        <v>51</v>
      </c>
      <c r="D272" s="801" t="s">
        <v>31</v>
      </c>
      <c r="E272" s="783"/>
      <c r="F272" s="783"/>
      <c r="G272" s="783"/>
      <c r="H272" s="783"/>
      <c r="I272" s="783"/>
      <c r="J272" s="783"/>
      <c r="K272" s="776"/>
      <c r="L272" s="776"/>
      <c r="M272" s="776"/>
      <c r="N272" s="776"/>
      <c r="O272" s="776"/>
      <c r="P272" s="776"/>
      <c r="Q272" s="783"/>
    </row>
    <row r="273" spans="1:17" s="769" customFormat="1">
      <c r="A273" s="809" t="s">
        <v>767</v>
      </c>
      <c r="B273" s="810" t="s">
        <v>768</v>
      </c>
      <c r="C273" s="804" t="s">
        <v>51</v>
      </c>
      <c r="D273" s="801" t="s">
        <v>31</v>
      </c>
      <c r="E273" s="783">
        <f>E269</f>
        <v>597668.25029999996</v>
      </c>
      <c r="F273" s="783"/>
      <c r="G273" s="783">
        <f t="shared" ref="G273:J275" si="327">G264</f>
        <v>9453.834230769231</v>
      </c>
      <c r="H273" s="783">
        <f t="shared" si="327"/>
        <v>10380.399999999998</v>
      </c>
      <c r="I273" s="783">
        <f t="shared" si="327"/>
        <v>5638.7688214285708</v>
      </c>
      <c r="J273" s="783">
        <f t="shared" si="327"/>
        <v>11413.97082</v>
      </c>
      <c r="K273" s="776">
        <f t="shared" ref="K273:K275" si="328">SUM(E273:J273)</f>
        <v>634555.22417219775</v>
      </c>
      <c r="L273" s="776">
        <f t="shared" ref="L273:L275" si="329">K273*15%</f>
        <v>95183.283625829659</v>
      </c>
      <c r="M273" s="776">
        <f t="shared" ref="M273:M275" si="330">K273+L273</f>
        <v>729738.50779802736</v>
      </c>
      <c r="N273" s="776">
        <f t="shared" ref="N273:N275" si="331">K273-I273</f>
        <v>628916.45535076922</v>
      </c>
      <c r="O273" s="776">
        <f t="shared" ref="O273:O275" si="332">$L$6*N273</f>
        <v>94337.46830261538</v>
      </c>
      <c r="P273" s="776">
        <f t="shared" ref="P273:P275" si="333">N273+O273</f>
        <v>723253.92365338455</v>
      </c>
      <c r="Q273" s="783">
        <f>Q269</f>
        <v>18593.086769230766</v>
      </c>
    </row>
    <row r="274" spans="1:17" s="769" customFormat="1">
      <c r="A274" s="809" t="s">
        <v>767</v>
      </c>
      <c r="B274" s="810" t="s">
        <v>769</v>
      </c>
      <c r="C274" s="804" t="s">
        <v>51</v>
      </c>
      <c r="D274" s="801" t="s">
        <v>31</v>
      </c>
      <c r="E274" s="783">
        <f t="shared" ref="E274:E275" si="334">E270</f>
        <v>787132.79039999994</v>
      </c>
      <c r="F274" s="783"/>
      <c r="G274" s="783">
        <f t="shared" si="327"/>
        <v>9453.834230769231</v>
      </c>
      <c r="H274" s="783">
        <f t="shared" si="327"/>
        <v>10380.399999999998</v>
      </c>
      <c r="I274" s="783">
        <f t="shared" si="327"/>
        <v>5638.7688214285708</v>
      </c>
      <c r="J274" s="783">
        <f t="shared" si="327"/>
        <v>11413.97082</v>
      </c>
      <c r="K274" s="776">
        <f t="shared" si="328"/>
        <v>824019.76427219773</v>
      </c>
      <c r="L274" s="776">
        <f t="shared" si="329"/>
        <v>123602.96464082965</v>
      </c>
      <c r="M274" s="776">
        <f t="shared" si="330"/>
        <v>947622.72891302733</v>
      </c>
      <c r="N274" s="776">
        <f t="shared" si="331"/>
        <v>818380.9954507692</v>
      </c>
      <c r="O274" s="776">
        <f t="shared" si="332"/>
        <v>122757.14931761537</v>
      </c>
      <c r="P274" s="776">
        <f t="shared" si="333"/>
        <v>941138.14476838452</v>
      </c>
      <c r="Q274" s="783">
        <f t="shared" ref="Q274:Q275" si="335">Q270</f>
        <v>24559.838769230766</v>
      </c>
    </row>
    <row r="275" spans="1:17" s="769" customFormat="1">
      <c r="A275" s="809" t="s">
        <v>767</v>
      </c>
      <c r="B275" s="810" t="s">
        <v>770</v>
      </c>
      <c r="C275" s="804" t="s">
        <v>51</v>
      </c>
      <c r="D275" s="801" t="s">
        <v>31</v>
      </c>
      <c r="E275" s="783">
        <f t="shared" si="334"/>
        <v>963583.09905000008</v>
      </c>
      <c r="F275" s="783"/>
      <c r="G275" s="783">
        <f t="shared" si="327"/>
        <v>12289.984499999999</v>
      </c>
      <c r="H275" s="783">
        <f t="shared" si="327"/>
        <v>10380.399999999998</v>
      </c>
      <c r="I275" s="783">
        <f t="shared" si="327"/>
        <v>7330.3994678571435</v>
      </c>
      <c r="J275" s="783">
        <f t="shared" si="327"/>
        <v>14838.162066000001</v>
      </c>
      <c r="K275" s="776">
        <f t="shared" si="328"/>
        <v>1008422.0450838573</v>
      </c>
      <c r="L275" s="776">
        <f t="shared" si="329"/>
        <v>151263.30676257858</v>
      </c>
      <c r="M275" s="776">
        <f t="shared" si="330"/>
        <v>1159685.3518464358</v>
      </c>
      <c r="N275" s="776">
        <f t="shared" si="331"/>
        <v>1001091.6456160002</v>
      </c>
      <c r="O275" s="776">
        <f t="shared" si="332"/>
        <v>150163.74684240003</v>
      </c>
      <c r="P275" s="776">
        <f t="shared" si="333"/>
        <v>1151255.3924584002</v>
      </c>
      <c r="Q275" s="783">
        <f t="shared" si="335"/>
        <v>30019.734461538457</v>
      </c>
    </row>
    <row r="276" spans="1:17" s="769" customFormat="1">
      <c r="A276" s="771">
        <v>5</v>
      </c>
      <c r="B276" s="808" t="s">
        <v>252</v>
      </c>
      <c r="C276" s="804" t="s">
        <v>51</v>
      </c>
      <c r="D276" s="801" t="s">
        <v>31</v>
      </c>
      <c r="E276" s="783"/>
      <c r="F276" s="783"/>
      <c r="G276" s="783"/>
      <c r="H276" s="783"/>
      <c r="I276" s="783"/>
      <c r="J276" s="783"/>
      <c r="K276" s="776"/>
      <c r="L276" s="776"/>
      <c r="M276" s="776"/>
      <c r="N276" s="776"/>
      <c r="O276" s="776"/>
      <c r="P276" s="776"/>
      <c r="Q276" s="783"/>
    </row>
    <row r="277" spans="1:17" s="769" customFormat="1">
      <c r="A277" s="771">
        <v>5.0999999999999996</v>
      </c>
      <c r="B277" s="808" t="s">
        <v>771</v>
      </c>
      <c r="C277" s="804" t="s">
        <v>51</v>
      </c>
      <c r="D277" s="801" t="s">
        <v>31</v>
      </c>
      <c r="E277" s="783"/>
      <c r="F277" s="783"/>
      <c r="G277" s="783"/>
      <c r="H277" s="783"/>
      <c r="I277" s="783"/>
      <c r="J277" s="783"/>
      <c r="K277" s="776"/>
      <c r="L277" s="776"/>
      <c r="M277" s="776"/>
      <c r="N277" s="776"/>
      <c r="O277" s="776"/>
      <c r="P277" s="776"/>
      <c r="Q277" s="783"/>
    </row>
    <row r="278" spans="1:17" s="769" customFormat="1">
      <c r="A278" s="771"/>
      <c r="B278" s="810" t="s">
        <v>768</v>
      </c>
      <c r="C278" s="804" t="s">
        <v>51</v>
      </c>
      <c r="D278" s="801" t="s">
        <v>31</v>
      </c>
      <c r="E278" s="783">
        <f>E282</f>
        <v>747597.61889999988</v>
      </c>
      <c r="F278" s="783"/>
      <c r="G278" s="783">
        <f t="shared" ref="G278:J280" si="336">G232</f>
        <v>15756.390384615384</v>
      </c>
      <c r="H278" s="783">
        <f t="shared" si="336"/>
        <v>31754</v>
      </c>
      <c r="I278" s="783">
        <f t="shared" si="336"/>
        <v>9397.9480357142857</v>
      </c>
      <c r="J278" s="783">
        <f t="shared" si="336"/>
        <v>19023.2847</v>
      </c>
      <c r="K278" s="776">
        <f t="shared" ref="K278:K280" si="337">SUM(E278:J278)</f>
        <v>823529.24202032958</v>
      </c>
      <c r="L278" s="776">
        <f t="shared" ref="L278:L280" si="338">K278*15%</f>
        <v>123529.38630304942</v>
      </c>
      <c r="M278" s="776">
        <f t="shared" ref="M278:M280" si="339">K278+L278</f>
        <v>947058.62832337897</v>
      </c>
      <c r="N278" s="776">
        <f t="shared" ref="N278:N280" si="340">K278-I278</f>
        <v>814131.29398461524</v>
      </c>
      <c r="O278" s="776">
        <f t="shared" ref="O278:O280" si="341">$L$6*N278</f>
        <v>122119.69409769228</v>
      </c>
      <c r="P278" s="776">
        <f t="shared" ref="P278:P280" si="342">N278+O278</f>
        <v>936250.98808230751</v>
      </c>
      <c r="Q278" s="783">
        <f>NCong!P515</f>
        <v>23089.324923076922</v>
      </c>
    </row>
    <row r="279" spans="1:17" s="769" customFormat="1">
      <c r="A279" s="771"/>
      <c r="B279" s="810" t="s">
        <v>769</v>
      </c>
      <c r="C279" s="804" t="s">
        <v>51</v>
      </c>
      <c r="D279" s="801" t="s">
        <v>31</v>
      </c>
      <c r="E279" s="783">
        <f t="shared" ref="E279:E280" si="343">E283</f>
        <v>926791.88332499983</v>
      </c>
      <c r="F279" s="783"/>
      <c r="G279" s="783">
        <f t="shared" si="336"/>
        <v>15756.390384615384</v>
      </c>
      <c r="H279" s="783">
        <f t="shared" si="336"/>
        <v>31754</v>
      </c>
      <c r="I279" s="783">
        <f t="shared" si="336"/>
        <v>9397.9480357142857</v>
      </c>
      <c r="J279" s="783">
        <f t="shared" si="336"/>
        <v>19023.2847</v>
      </c>
      <c r="K279" s="776">
        <f t="shared" si="337"/>
        <v>1002723.5064453295</v>
      </c>
      <c r="L279" s="776">
        <f t="shared" si="338"/>
        <v>150408.52596679941</v>
      </c>
      <c r="M279" s="776">
        <f t="shared" si="339"/>
        <v>1153132.032412129</v>
      </c>
      <c r="N279" s="776">
        <f t="shared" si="340"/>
        <v>993325.55840961519</v>
      </c>
      <c r="O279" s="776">
        <f t="shared" si="341"/>
        <v>148998.83376144228</v>
      </c>
      <c r="P279" s="776">
        <f t="shared" si="342"/>
        <v>1142324.3921710574</v>
      </c>
      <c r="Q279" s="783">
        <f>NCong!Q515</f>
        <v>28725.357269230764</v>
      </c>
    </row>
    <row r="280" spans="1:17" s="769" customFormat="1">
      <c r="A280" s="771"/>
      <c r="B280" s="810" t="s">
        <v>770</v>
      </c>
      <c r="C280" s="804" t="s">
        <v>51</v>
      </c>
      <c r="D280" s="801" t="s">
        <v>31</v>
      </c>
      <c r="E280" s="783">
        <f t="shared" si="343"/>
        <v>1160090.4950250001</v>
      </c>
      <c r="F280" s="783"/>
      <c r="G280" s="783">
        <f t="shared" si="336"/>
        <v>20483.307499999999</v>
      </c>
      <c r="H280" s="783">
        <f t="shared" si="336"/>
        <v>31754</v>
      </c>
      <c r="I280" s="783">
        <f t="shared" si="336"/>
        <v>12217.332446428572</v>
      </c>
      <c r="J280" s="783">
        <f t="shared" si="336"/>
        <v>24730.270110000001</v>
      </c>
      <c r="K280" s="776">
        <f t="shared" si="337"/>
        <v>1249275.4050814286</v>
      </c>
      <c r="L280" s="776">
        <f t="shared" si="338"/>
        <v>187391.31076221427</v>
      </c>
      <c r="M280" s="776">
        <f t="shared" si="339"/>
        <v>1436666.7158436428</v>
      </c>
      <c r="N280" s="776">
        <f t="shared" si="340"/>
        <v>1237058.0726350001</v>
      </c>
      <c r="O280" s="776">
        <f t="shared" si="341"/>
        <v>185558.71089525</v>
      </c>
      <c r="P280" s="776">
        <f t="shared" si="342"/>
        <v>1422616.7835302502</v>
      </c>
      <c r="Q280" s="783">
        <f>NCong!R515</f>
        <v>35852.347807692298</v>
      </c>
    </row>
    <row r="281" spans="1:17" s="769" customFormat="1">
      <c r="A281" s="771">
        <v>5.2</v>
      </c>
      <c r="B281" s="808" t="s">
        <v>772</v>
      </c>
      <c r="C281" s="804"/>
      <c r="D281" s="801"/>
      <c r="E281" s="783"/>
      <c r="F281" s="783"/>
      <c r="G281" s="783"/>
      <c r="H281" s="783"/>
      <c r="I281" s="783"/>
      <c r="J281" s="783"/>
      <c r="K281" s="776"/>
      <c r="L281" s="776"/>
      <c r="M281" s="776"/>
      <c r="N281" s="776"/>
      <c r="O281" s="776"/>
      <c r="P281" s="776"/>
      <c r="Q281" s="783"/>
    </row>
    <row r="282" spans="1:17" s="769" customFormat="1">
      <c r="A282" s="809" t="s">
        <v>767</v>
      </c>
      <c r="B282" s="810" t="s">
        <v>768</v>
      </c>
      <c r="C282" s="804" t="s">
        <v>51</v>
      </c>
      <c r="D282" s="801" t="s">
        <v>31</v>
      </c>
      <c r="E282" s="783">
        <f>NCong!M515</f>
        <v>747597.61889999988</v>
      </c>
      <c r="F282" s="783"/>
      <c r="G282" s="783">
        <f t="shared" ref="G282:J284" si="344">G264</f>
        <v>9453.834230769231</v>
      </c>
      <c r="H282" s="783">
        <f t="shared" si="344"/>
        <v>10380.399999999998</v>
      </c>
      <c r="I282" s="783">
        <f t="shared" si="344"/>
        <v>5638.7688214285708</v>
      </c>
      <c r="J282" s="783">
        <f t="shared" si="344"/>
        <v>11413.97082</v>
      </c>
      <c r="K282" s="776">
        <f t="shared" ref="K282:K284" si="345">SUM(E282:J282)</f>
        <v>784484.59277219768</v>
      </c>
      <c r="L282" s="776">
        <f t="shared" ref="L282:L284" si="346">K282*15%</f>
        <v>117672.68891582965</v>
      </c>
      <c r="M282" s="776">
        <f t="shared" ref="M282:M284" si="347">K282+L282</f>
        <v>902157.28168802732</v>
      </c>
      <c r="N282" s="776">
        <f t="shared" ref="N282:N284" si="348">K282-I282</f>
        <v>778845.82395076915</v>
      </c>
      <c r="O282" s="776">
        <f t="shared" ref="O282:O284" si="349">$L$6*N282</f>
        <v>116826.87359261537</v>
      </c>
      <c r="P282" s="776">
        <f t="shared" ref="P282:P284" si="350">N282+O282</f>
        <v>895672.69754338451</v>
      </c>
      <c r="Q282" s="783">
        <f>Q278</f>
        <v>23089.324923076922</v>
      </c>
    </row>
    <row r="283" spans="1:17" s="769" customFormat="1">
      <c r="A283" s="809" t="s">
        <v>767</v>
      </c>
      <c r="B283" s="810" t="s">
        <v>769</v>
      </c>
      <c r="C283" s="804" t="s">
        <v>51</v>
      </c>
      <c r="D283" s="801" t="s">
        <v>31</v>
      </c>
      <c r="E283" s="783">
        <f>NCong!N515</f>
        <v>926791.88332499983</v>
      </c>
      <c r="F283" s="783"/>
      <c r="G283" s="783">
        <f t="shared" si="344"/>
        <v>9453.834230769231</v>
      </c>
      <c r="H283" s="783">
        <f t="shared" si="344"/>
        <v>10380.399999999998</v>
      </c>
      <c r="I283" s="783">
        <f t="shared" si="344"/>
        <v>5638.7688214285708</v>
      </c>
      <c r="J283" s="783">
        <f t="shared" si="344"/>
        <v>11413.97082</v>
      </c>
      <c r="K283" s="776">
        <f t="shared" si="345"/>
        <v>963678.85719719762</v>
      </c>
      <c r="L283" s="776">
        <f t="shared" si="346"/>
        <v>144551.82857957963</v>
      </c>
      <c r="M283" s="776">
        <f t="shared" si="347"/>
        <v>1108230.6857767773</v>
      </c>
      <c r="N283" s="776">
        <f t="shared" si="348"/>
        <v>958040.08837576909</v>
      </c>
      <c r="O283" s="776">
        <f t="shared" si="349"/>
        <v>143706.01325636535</v>
      </c>
      <c r="P283" s="776">
        <f t="shared" si="350"/>
        <v>1101746.1016321345</v>
      </c>
      <c r="Q283" s="783">
        <f t="shared" ref="Q283:Q284" si="351">Q279</f>
        <v>28725.357269230764</v>
      </c>
    </row>
    <row r="284" spans="1:17" s="769" customFormat="1">
      <c r="A284" s="809" t="s">
        <v>767</v>
      </c>
      <c r="B284" s="810" t="s">
        <v>770</v>
      </c>
      <c r="C284" s="804" t="s">
        <v>51</v>
      </c>
      <c r="D284" s="801" t="s">
        <v>31</v>
      </c>
      <c r="E284" s="783">
        <f>NCong!O515</f>
        <v>1160090.4950250001</v>
      </c>
      <c r="F284" s="783"/>
      <c r="G284" s="783">
        <f t="shared" si="344"/>
        <v>12289.984499999999</v>
      </c>
      <c r="H284" s="783">
        <f t="shared" si="344"/>
        <v>10380.399999999998</v>
      </c>
      <c r="I284" s="783">
        <f t="shared" si="344"/>
        <v>7330.3994678571435</v>
      </c>
      <c r="J284" s="783">
        <f t="shared" si="344"/>
        <v>14838.162066000001</v>
      </c>
      <c r="K284" s="776">
        <f t="shared" si="345"/>
        <v>1204929.4410588571</v>
      </c>
      <c r="L284" s="776">
        <f t="shared" si="346"/>
        <v>180739.41615882856</v>
      </c>
      <c r="M284" s="776">
        <f t="shared" si="347"/>
        <v>1385668.8572176858</v>
      </c>
      <c r="N284" s="776">
        <f t="shared" si="348"/>
        <v>1197599.041591</v>
      </c>
      <c r="O284" s="776">
        <f t="shared" si="349"/>
        <v>179639.85623865001</v>
      </c>
      <c r="P284" s="776">
        <f t="shared" si="350"/>
        <v>1377238.89782965</v>
      </c>
      <c r="Q284" s="783">
        <f t="shared" si="351"/>
        <v>35852.347807692298</v>
      </c>
    </row>
    <row r="285" spans="1:17" s="769" customFormat="1">
      <c r="A285" s="771">
        <v>6</v>
      </c>
      <c r="B285" s="808" t="s">
        <v>253</v>
      </c>
      <c r="C285" s="804" t="s">
        <v>51</v>
      </c>
      <c r="D285" s="801" t="s">
        <v>31</v>
      </c>
      <c r="E285" s="783"/>
      <c r="F285" s="783"/>
      <c r="G285" s="783"/>
      <c r="H285" s="783"/>
      <c r="I285" s="783"/>
      <c r="J285" s="783"/>
      <c r="K285" s="776"/>
      <c r="L285" s="776"/>
      <c r="M285" s="776"/>
      <c r="N285" s="776"/>
      <c r="O285" s="776"/>
      <c r="P285" s="776"/>
      <c r="Q285" s="783"/>
    </row>
    <row r="286" spans="1:17" s="769" customFormat="1">
      <c r="A286" s="771">
        <v>6.1</v>
      </c>
      <c r="B286" s="808" t="s">
        <v>771</v>
      </c>
      <c r="C286" s="804" t="s">
        <v>51</v>
      </c>
      <c r="D286" s="801" t="s">
        <v>31</v>
      </c>
      <c r="E286" s="783"/>
      <c r="F286" s="783"/>
      <c r="G286" s="783"/>
      <c r="H286" s="783"/>
      <c r="I286" s="783"/>
      <c r="J286" s="783"/>
      <c r="K286" s="776"/>
      <c r="L286" s="776"/>
      <c r="M286" s="776"/>
      <c r="N286" s="776"/>
      <c r="O286" s="776"/>
      <c r="P286" s="776"/>
      <c r="Q286" s="783"/>
    </row>
    <row r="287" spans="1:17" s="769" customFormat="1">
      <c r="A287" s="809" t="s">
        <v>767</v>
      </c>
      <c r="B287" s="810" t="s">
        <v>768</v>
      </c>
      <c r="C287" s="804" t="s">
        <v>51</v>
      </c>
      <c r="D287" s="801" t="s">
        <v>31</v>
      </c>
      <c r="E287" s="783">
        <f>E291</f>
        <v>716389.1327999999</v>
      </c>
      <c r="F287" s="783"/>
      <c r="G287" s="783">
        <f>G278</f>
        <v>15756.390384615384</v>
      </c>
      <c r="H287" s="783">
        <f t="shared" ref="H287:J287" si="352">H278</f>
        <v>31754</v>
      </c>
      <c r="I287" s="783">
        <f t="shared" si="352"/>
        <v>9397.9480357142857</v>
      </c>
      <c r="J287" s="783">
        <f t="shared" si="352"/>
        <v>19023.2847</v>
      </c>
      <c r="K287" s="776">
        <f t="shared" ref="K287:K289" si="353">SUM(E287:J287)</f>
        <v>792320.7559203296</v>
      </c>
      <c r="L287" s="776">
        <f t="shared" ref="L287:L289" si="354">K287*15%</f>
        <v>118848.11338804943</v>
      </c>
      <c r="M287" s="776">
        <f t="shared" ref="M287:M289" si="355">K287+L287</f>
        <v>911168.86930837901</v>
      </c>
      <c r="N287" s="776">
        <f t="shared" ref="N287:N289" si="356">K287-I287</f>
        <v>782922.80788461526</v>
      </c>
      <c r="O287" s="776">
        <f t="shared" ref="O287:O289" si="357">$L$6*N287</f>
        <v>117438.42118269228</v>
      </c>
      <c r="P287" s="776">
        <f t="shared" ref="P287:P289" si="358">N287+O287</f>
        <v>900361.22906730755</v>
      </c>
      <c r="Q287" s="783">
        <f>Q291</f>
        <v>22193.471384615383</v>
      </c>
    </row>
    <row r="288" spans="1:17" s="769" customFormat="1">
      <c r="A288" s="809" t="s">
        <v>767</v>
      </c>
      <c r="B288" s="810" t="s">
        <v>769</v>
      </c>
      <c r="C288" s="804" t="s">
        <v>51</v>
      </c>
      <c r="D288" s="801" t="s">
        <v>31</v>
      </c>
      <c r="E288" s="783">
        <f t="shared" ref="E288:E289" si="359">E292</f>
        <v>905853.67289999989</v>
      </c>
      <c r="F288" s="783"/>
      <c r="G288" s="783">
        <f t="shared" ref="G288:J289" si="360">G279</f>
        <v>15756.390384615384</v>
      </c>
      <c r="H288" s="783">
        <f t="shared" si="360"/>
        <v>31754</v>
      </c>
      <c r="I288" s="783">
        <f t="shared" si="360"/>
        <v>9397.9480357142857</v>
      </c>
      <c r="J288" s="783">
        <f t="shared" si="360"/>
        <v>19023.2847</v>
      </c>
      <c r="K288" s="776">
        <f t="shared" si="353"/>
        <v>981785.29602032958</v>
      </c>
      <c r="L288" s="776">
        <f t="shared" si="354"/>
        <v>147267.79440304943</v>
      </c>
      <c r="M288" s="776">
        <f t="shared" si="355"/>
        <v>1129053.0904233791</v>
      </c>
      <c r="N288" s="776">
        <f t="shared" si="356"/>
        <v>972387.34798461525</v>
      </c>
      <c r="O288" s="776">
        <f t="shared" si="357"/>
        <v>145858.10219769229</v>
      </c>
      <c r="P288" s="776">
        <f t="shared" si="358"/>
        <v>1118245.4501823075</v>
      </c>
      <c r="Q288" s="783">
        <f t="shared" ref="Q288:Q289" si="361">Q292</f>
        <v>28160.223384615379</v>
      </c>
    </row>
    <row r="289" spans="1:17" s="769" customFormat="1">
      <c r="A289" s="809" t="s">
        <v>767</v>
      </c>
      <c r="B289" s="810" t="s">
        <v>770</v>
      </c>
      <c r="C289" s="804" t="s">
        <v>51</v>
      </c>
      <c r="D289" s="801" t="s">
        <v>31</v>
      </c>
      <c r="E289" s="783">
        <f t="shared" si="359"/>
        <v>1106048.15805</v>
      </c>
      <c r="F289" s="783"/>
      <c r="G289" s="783">
        <f t="shared" si="360"/>
        <v>20483.307499999999</v>
      </c>
      <c r="H289" s="783">
        <f t="shared" si="360"/>
        <v>31754</v>
      </c>
      <c r="I289" s="783">
        <f t="shared" si="360"/>
        <v>12217.332446428572</v>
      </c>
      <c r="J289" s="783">
        <f t="shared" si="360"/>
        <v>24730.270110000001</v>
      </c>
      <c r="K289" s="776">
        <f t="shared" si="353"/>
        <v>1195233.0681064285</v>
      </c>
      <c r="L289" s="776">
        <f t="shared" si="354"/>
        <v>179284.96021596427</v>
      </c>
      <c r="M289" s="776">
        <f t="shared" si="355"/>
        <v>1374518.0283223928</v>
      </c>
      <c r="N289" s="776">
        <f t="shared" si="356"/>
        <v>1183015.73566</v>
      </c>
      <c r="O289" s="776">
        <f t="shared" si="357"/>
        <v>177452.360349</v>
      </c>
      <c r="P289" s="776">
        <f t="shared" si="358"/>
        <v>1360468.096009</v>
      </c>
      <c r="Q289" s="783">
        <f t="shared" si="361"/>
        <v>34340.196000000004</v>
      </c>
    </row>
    <row r="290" spans="1:17" s="769" customFormat="1">
      <c r="A290" s="771">
        <v>6.2</v>
      </c>
      <c r="B290" s="808" t="s">
        <v>772</v>
      </c>
      <c r="C290" s="804"/>
      <c r="D290" s="801"/>
      <c r="E290" s="783"/>
      <c r="F290" s="783"/>
      <c r="G290" s="783"/>
      <c r="H290" s="783"/>
      <c r="I290" s="783"/>
      <c r="J290" s="783"/>
      <c r="K290" s="776"/>
      <c r="L290" s="776"/>
      <c r="M290" s="776"/>
      <c r="N290" s="776"/>
      <c r="O290" s="776"/>
      <c r="P290" s="776"/>
      <c r="Q290" s="783"/>
    </row>
    <row r="291" spans="1:17" s="769" customFormat="1">
      <c r="A291" s="809" t="s">
        <v>767</v>
      </c>
      <c r="B291" s="810" t="s">
        <v>768</v>
      </c>
      <c r="C291" s="804" t="s">
        <v>51</v>
      </c>
      <c r="D291" s="801" t="s">
        <v>31</v>
      </c>
      <c r="E291" s="783">
        <f>NCong!M516</f>
        <v>716389.1327999999</v>
      </c>
      <c r="F291" s="783"/>
      <c r="G291" s="783">
        <f>G282</f>
        <v>9453.834230769231</v>
      </c>
      <c r="H291" s="783">
        <f t="shared" ref="H291:J291" si="362">H282</f>
        <v>10380.399999999998</v>
      </c>
      <c r="I291" s="783">
        <f t="shared" si="362"/>
        <v>5638.7688214285708</v>
      </c>
      <c r="J291" s="783">
        <f t="shared" si="362"/>
        <v>11413.97082</v>
      </c>
      <c r="K291" s="776">
        <f t="shared" ref="K291:K293" si="363">SUM(E291:J291)</f>
        <v>753276.1066721977</v>
      </c>
      <c r="L291" s="776">
        <f t="shared" ref="L291:L293" si="364">K291*15%</f>
        <v>112991.41600082965</v>
      </c>
      <c r="M291" s="776">
        <f t="shared" ref="M291:M293" si="365">K291+L291</f>
        <v>866267.52267302736</v>
      </c>
      <c r="N291" s="776">
        <f t="shared" ref="N291:N293" si="366">K291-I291</f>
        <v>747637.33785076917</v>
      </c>
      <c r="O291" s="776">
        <f t="shared" ref="O291:O293" si="367">$L$6*N291</f>
        <v>112145.60067761537</v>
      </c>
      <c r="P291" s="776">
        <f t="shared" ref="P291:P293" si="368">N291+O291</f>
        <v>859782.93852838455</v>
      </c>
      <c r="Q291" s="783">
        <f>NCong!P516</f>
        <v>22193.471384615383</v>
      </c>
    </row>
    <row r="292" spans="1:17" s="769" customFormat="1">
      <c r="A292" s="809" t="s">
        <v>767</v>
      </c>
      <c r="B292" s="810" t="s">
        <v>769</v>
      </c>
      <c r="C292" s="804" t="s">
        <v>51</v>
      </c>
      <c r="D292" s="801" t="s">
        <v>31</v>
      </c>
      <c r="E292" s="783">
        <f>NCong!N516</f>
        <v>905853.67289999989</v>
      </c>
      <c r="F292" s="783"/>
      <c r="G292" s="783">
        <f t="shared" ref="G292:J293" si="369">G283</f>
        <v>9453.834230769231</v>
      </c>
      <c r="H292" s="783">
        <f t="shared" si="369"/>
        <v>10380.399999999998</v>
      </c>
      <c r="I292" s="783">
        <f t="shared" si="369"/>
        <v>5638.7688214285708</v>
      </c>
      <c r="J292" s="783">
        <f t="shared" si="369"/>
        <v>11413.97082</v>
      </c>
      <c r="K292" s="776">
        <f t="shared" si="363"/>
        <v>942740.64677219768</v>
      </c>
      <c r="L292" s="776">
        <f t="shared" si="364"/>
        <v>141411.09701582964</v>
      </c>
      <c r="M292" s="776">
        <f t="shared" si="365"/>
        <v>1084151.7437880272</v>
      </c>
      <c r="N292" s="776">
        <f t="shared" si="366"/>
        <v>937101.87795076915</v>
      </c>
      <c r="O292" s="776">
        <f t="shared" si="367"/>
        <v>140565.28169261536</v>
      </c>
      <c r="P292" s="776">
        <f t="shared" si="368"/>
        <v>1077667.1596433846</v>
      </c>
      <c r="Q292" s="783">
        <f>NCong!Q516</f>
        <v>28160.223384615379</v>
      </c>
    </row>
    <row r="293" spans="1:17" s="769" customFormat="1">
      <c r="A293" s="809" t="s">
        <v>767</v>
      </c>
      <c r="B293" s="810" t="s">
        <v>770</v>
      </c>
      <c r="C293" s="804" t="s">
        <v>51</v>
      </c>
      <c r="D293" s="801" t="s">
        <v>31</v>
      </c>
      <c r="E293" s="783">
        <f>NCong!O516</f>
        <v>1106048.15805</v>
      </c>
      <c r="F293" s="783"/>
      <c r="G293" s="783">
        <f t="shared" si="369"/>
        <v>12289.984499999999</v>
      </c>
      <c r="H293" s="783">
        <f t="shared" si="369"/>
        <v>10380.399999999998</v>
      </c>
      <c r="I293" s="783">
        <f t="shared" si="369"/>
        <v>7330.3994678571435</v>
      </c>
      <c r="J293" s="783">
        <f t="shared" si="369"/>
        <v>14838.162066000001</v>
      </c>
      <c r="K293" s="776">
        <f t="shared" si="363"/>
        <v>1150887.104083857</v>
      </c>
      <c r="L293" s="776">
        <f t="shared" si="364"/>
        <v>172633.06561257856</v>
      </c>
      <c r="M293" s="776">
        <f t="shared" si="365"/>
        <v>1323520.1696964356</v>
      </c>
      <c r="N293" s="776">
        <f t="shared" si="366"/>
        <v>1143556.7046159999</v>
      </c>
      <c r="O293" s="776">
        <f t="shared" si="367"/>
        <v>171533.50569239998</v>
      </c>
      <c r="P293" s="776">
        <f t="shared" si="368"/>
        <v>1315090.2103084</v>
      </c>
      <c r="Q293" s="783">
        <f>NCong!R516</f>
        <v>34340.196000000004</v>
      </c>
    </row>
    <row r="294" spans="1:17" s="769" customFormat="1">
      <c r="A294" s="771">
        <v>7</v>
      </c>
      <c r="B294" s="808" t="s">
        <v>254</v>
      </c>
      <c r="C294" s="804" t="s">
        <v>51</v>
      </c>
      <c r="D294" s="801" t="s">
        <v>31</v>
      </c>
      <c r="E294" s="783"/>
      <c r="F294" s="783"/>
      <c r="G294" s="783"/>
      <c r="H294" s="783"/>
      <c r="I294" s="783"/>
      <c r="J294" s="783"/>
      <c r="K294" s="776"/>
      <c r="L294" s="776"/>
      <c r="M294" s="776"/>
      <c r="N294" s="776"/>
      <c r="O294" s="776"/>
      <c r="P294" s="776"/>
      <c r="Q294" s="783"/>
    </row>
    <row r="295" spans="1:17" s="769" customFormat="1">
      <c r="A295" s="771">
        <v>7.1</v>
      </c>
      <c r="B295" s="808" t="s">
        <v>771</v>
      </c>
      <c r="C295" s="804" t="s">
        <v>51</v>
      </c>
      <c r="D295" s="801" t="s">
        <v>31</v>
      </c>
      <c r="E295" s="783"/>
      <c r="F295" s="783"/>
      <c r="G295" s="783"/>
      <c r="H295" s="783"/>
      <c r="I295" s="783"/>
      <c r="J295" s="783"/>
      <c r="K295" s="776"/>
      <c r="L295" s="776"/>
      <c r="M295" s="776"/>
      <c r="N295" s="776"/>
      <c r="O295" s="776"/>
      <c r="P295" s="776"/>
      <c r="Q295" s="783"/>
    </row>
    <row r="296" spans="1:17" s="769" customFormat="1">
      <c r="A296" s="809" t="s">
        <v>767</v>
      </c>
      <c r="B296" s="810" t="s">
        <v>768</v>
      </c>
      <c r="C296" s="804" t="s">
        <v>51</v>
      </c>
      <c r="D296" s="801" t="s">
        <v>31</v>
      </c>
      <c r="E296" s="783">
        <f>NCong!M517</f>
        <v>743473.21289999981</v>
      </c>
      <c r="F296" s="783"/>
      <c r="G296" s="783">
        <f t="shared" ref="G296:J298" si="370">G232</f>
        <v>15756.390384615384</v>
      </c>
      <c r="H296" s="783">
        <f t="shared" si="370"/>
        <v>31754</v>
      </c>
      <c r="I296" s="783">
        <f t="shared" si="370"/>
        <v>9397.9480357142857</v>
      </c>
      <c r="J296" s="783">
        <f t="shared" si="370"/>
        <v>19023.2847</v>
      </c>
      <c r="K296" s="776">
        <f t="shared" ref="K296:K298" si="371">SUM(E296:J296)</f>
        <v>819404.8360203295</v>
      </c>
      <c r="L296" s="776">
        <f t="shared" ref="L296:L298" si="372">K296*15%</f>
        <v>122910.72540304942</v>
      </c>
      <c r="M296" s="776">
        <f t="shared" ref="M296:M298" si="373">K296+L296</f>
        <v>942315.56142337888</v>
      </c>
      <c r="N296" s="776">
        <f t="shared" ref="N296:N298" si="374">K296-I296</f>
        <v>810006.88798461517</v>
      </c>
      <c r="O296" s="776">
        <f t="shared" ref="O296:O298" si="375">$L$6*N296</f>
        <v>121501.03319769228</v>
      </c>
      <c r="P296" s="776">
        <f t="shared" ref="P296:P298" si="376">N296+O296</f>
        <v>931507.92118230741</v>
      </c>
      <c r="Q296" s="783">
        <f>NCong!P517</f>
        <v>22978.004923076922</v>
      </c>
    </row>
    <row r="297" spans="1:17" s="769" customFormat="1">
      <c r="A297" s="809" t="s">
        <v>767</v>
      </c>
      <c r="B297" s="810" t="s">
        <v>769</v>
      </c>
      <c r="C297" s="804" t="s">
        <v>51</v>
      </c>
      <c r="D297" s="801" t="s">
        <v>31</v>
      </c>
      <c r="E297" s="783">
        <f>NCong!N517</f>
        <v>921097.3909499998</v>
      </c>
      <c r="F297" s="783"/>
      <c r="G297" s="783">
        <f t="shared" si="370"/>
        <v>15756.390384615384</v>
      </c>
      <c r="H297" s="783">
        <f t="shared" si="370"/>
        <v>31754</v>
      </c>
      <c r="I297" s="783">
        <f t="shared" si="370"/>
        <v>9397.9480357142857</v>
      </c>
      <c r="J297" s="783">
        <f t="shared" si="370"/>
        <v>19023.2847</v>
      </c>
      <c r="K297" s="776">
        <f t="shared" si="371"/>
        <v>997029.01407032949</v>
      </c>
      <c r="L297" s="776">
        <f t="shared" si="372"/>
        <v>149554.35211054943</v>
      </c>
      <c r="M297" s="776">
        <f t="shared" si="373"/>
        <v>1146583.3661808788</v>
      </c>
      <c r="N297" s="776">
        <f t="shared" si="374"/>
        <v>987631.06603461516</v>
      </c>
      <c r="O297" s="776">
        <f t="shared" si="375"/>
        <v>148144.65990519227</v>
      </c>
      <c r="P297" s="776">
        <f t="shared" si="376"/>
        <v>1135775.7259398075</v>
      </c>
      <c r="Q297" s="783">
        <f>NCong!Q517</f>
        <v>28571.659769230766</v>
      </c>
    </row>
    <row r="298" spans="1:17" s="769" customFormat="1">
      <c r="A298" s="809" t="s">
        <v>767</v>
      </c>
      <c r="B298" s="810" t="s">
        <v>770</v>
      </c>
      <c r="C298" s="804" t="s">
        <v>51</v>
      </c>
      <c r="D298" s="801" t="s">
        <v>31</v>
      </c>
      <c r="E298" s="783">
        <f>NCong!O517</f>
        <v>1149756.0459</v>
      </c>
      <c r="F298" s="783"/>
      <c r="G298" s="783">
        <f t="shared" si="370"/>
        <v>20483.307499999999</v>
      </c>
      <c r="H298" s="783">
        <f t="shared" si="370"/>
        <v>31754</v>
      </c>
      <c r="I298" s="783">
        <f t="shared" si="370"/>
        <v>12217.332446428572</v>
      </c>
      <c r="J298" s="783">
        <f t="shared" si="370"/>
        <v>24730.270110000001</v>
      </c>
      <c r="K298" s="776">
        <f t="shared" si="371"/>
        <v>1238940.9559564285</v>
      </c>
      <c r="L298" s="776">
        <f t="shared" si="372"/>
        <v>185841.14339346427</v>
      </c>
      <c r="M298" s="776">
        <f t="shared" si="373"/>
        <v>1424782.0993498927</v>
      </c>
      <c r="N298" s="776">
        <f t="shared" si="374"/>
        <v>1226723.6235100001</v>
      </c>
      <c r="O298" s="776">
        <f t="shared" si="375"/>
        <v>184008.5435265</v>
      </c>
      <c r="P298" s="776">
        <f t="shared" si="376"/>
        <v>1410732.1670365001</v>
      </c>
      <c r="Q298" s="783">
        <f>NCong!R517</f>
        <v>35573.415307692303</v>
      </c>
    </row>
    <row r="299" spans="1:17" s="769" customFormat="1">
      <c r="A299" s="771">
        <v>7.2</v>
      </c>
      <c r="B299" s="808" t="s">
        <v>772</v>
      </c>
      <c r="C299" s="804" t="s">
        <v>51</v>
      </c>
      <c r="D299" s="801" t="s">
        <v>31</v>
      </c>
      <c r="E299" s="783"/>
      <c r="F299" s="783"/>
      <c r="G299" s="783"/>
      <c r="H299" s="783"/>
      <c r="I299" s="783"/>
      <c r="J299" s="783"/>
      <c r="K299" s="776"/>
      <c r="L299" s="776"/>
      <c r="M299" s="776"/>
      <c r="N299" s="776"/>
      <c r="O299" s="776"/>
      <c r="P299" s="776"/>
      <c r="Q299" s="783"/>
    </row>
    <row r="300" spans="1:17" s="769" customFormat="1">
      <c r="A300" s="809" t="s">
        <v>767</v>
      </c>
      <c r="B300" s="810" t="s">
        <v>768</v>
      </c>
      <c r="C300" s="804" t="s">
        <v>51</v>
      </c>
      <c r="D300" s="801" t="s">
        <v>31</v>
      </c>
      <c r="E300" s="783">
        <f>E296</f>
        <v>743473.21289999981</v>
      </c>
      <c r="F300" s="783"/>
      <c r="G300" s="783">
        <f>G291</f>
        <v>9453.834230769231</v>
      </c>
      <c r="H300" s="783">
        <f t="shared" ref="H300:J300" si="377">H291</f>
        <v>10380.399999999998</v>
      </c>
      <c r="I300" s="783">
        <f t="shared" si="377"/>
        <v>5638.7688214285708</v>
      </c>
      <c r="J300" s="783">
        <f t="shared" si="377"/>
        <v>11413.97082</v>
      </c>
      <c r="K300" s="776">
        <f t="shared" ref="K300:K302" si="378">SUM(E300:J300)</f>
        <v>780360.1867721976</v>
      </c>
      <c r="L300" s="776">
        <f t="shared" ref="L300:L302" si="379">K300*15%</f>
        <v>117054.02801582964</v>
      </c>
      <c r="M300" s="776">
        <f t="shared" ref="M300:M302" si="380">K300+L300</f>
        <v>897414.21478802722</v>
      </c>
      <c r="N300" s="776">
        <f t="shared" ref="N300:N302" si="381">K300-I300</f>
        <v>774721.41795076907</v>
      </c>
      <c r="O300" s="776">
        <f t="shared" ref="O300:O302" si="382">$L$6*N300</f>
        <v>116208.21269261536</v>
      </c>
      <c r="P300" s="776">
        <f t="shared" ref="P300:P302" si="383">N300+O300</f>
        <v>890929.63064338441</v>
      </c>
      <c r="Q300" s="783">
        <f>Q296</f>
        <v>22978.004923076922</v>
      </c>
    </row>
    <row r="301" spans="1:17" s="769" customFormat="1">
      <c r="A301" s="809" t="s">
        <v>767</v>
      </c>
      <c r="B301" s="810" t="s">
        <v>769</v>
      </c>
      <c r="C301" s="804" t="s">
        <v>51</v>
      </c>
      <c r="D301" s="801" t="s">
        <v>31</v>
      </c>
      <c r="E301" s="783">
        <f t="shared" ref="E301:E302" si="384">E297</f>
        <v>921097.3909499998</v>
      </c>
      <c r="F301" s="783"/>
      <c r="G301" s="783">
        <f t="shared" ref="G301:J302" si="385">G292</f>
        <v>9453.834230769231</v>
      </c>
      <c r="H301" s="783">
        <f t="shared" si="385"/>
        <v>10380.399999999998</v>
      </c>
      <c r="I301" s="783">
        <f t="shared" si="385"/>
        <v>5638.7688214285708</v>
      </c>
      <c r="J301" s="783">
        <f t="shared" si="385"/>
        <v>11413.97082</v>
      </c>
      <c r="K301" s="776">
        <f t="shared" si="378"/>
        <v>957984.36482219759</v>
      </c>
      <c r="L301" s="776">
        <f t="shared" si="379"/>
        <v>143697.65472332964</v>
      </c>
      <c r="M301" s="776">
        <f t="shared" si="380"/>
        <v>1101682.0195455272</v>
      </c>
      <c r="N301" s="776">
        <f t="shared" si="381"/>
        <v>952345.59600076906</v>
      </c>
      <c r="O301" s="776">
        <f t="shared" si="382"/>
        <v>142851.83940011536</v>
      </c>
      <c r="P301" s="776">
        <f t="shared" si="383"/>
        <v>1095197.4354008844</v>
      </c>
      <c r="Q301" s="783">
        <f t="shared" ref="Q301:Q302" si="386">Q297</f>
        <v>28571.659769230766</v>
      </c>
    </row>
    <row r="302" spans="1:17" s="769" customFormat="1">
      <c r="A302" s="809" t="s">
        <v>767</v>
      </c>
      <c r="B302" s="810" t="s">
        <v>770</v>
      </c>
      <c r="C302" s="804" t="s">
        <v>51</v>
      </c>
      <c r="D302" s="801" t="s">
        <v>31</v>
      </c>
      <c r="E302" s="783">
        <f t="shared" si="384"/>
        <v>1149756.0459</v>
      </c>
      <c r="F302" s="783"/>
      <c r="G302" s="783">
        <f t="shared" si="385"/>
        <v>12289.984499999999</v>
      </c>
      <c r="H302" s="783">
        <f t="shared" si="385"/>
        <v>10380.399999999998</v>
      </c>
      <c r="I302" s="783">
        <f t="shared" si="385"/>
        <v>7330.3994678571435</v>
      </c>
      <c r="J302" s="783">
        <f t="shared" si="385"/>
        <v>14838.162066000001</v>
      </c>
      <c r="K302" s="776">
        <f t="shared" si="378"/>
        <v>1194594.9919338571</v>
      </c>
      <c r="L302" s="776">
        <f t="shared" si="379"/>
        <v>179189.24879007856</v>
      </c>
      <c r="M302" s="776">
        <f t="shared" si="380"/>
        <v>1373784.2407239357</v>
      </c>
      <c r="N302" s="776">
        <f t="shared" si="381"/>
        <v>1187264.592466</v>
      </c>
      <c r="O302" s="776">
        <f t="shared" si="382"/>
        <v>178089.68886989998</v>
      </c>
      <c r="P302" s="776">
        <f t="shared" si="383"/>
        <v>1365354.2813359001</v>
      </c>
      <c r="Q302" s="783">
        <f t="shared" si="386"/>
        <v>35573.415307692303</v>
      </c>
    </row>
    <row r="303" spans="1:17" s="769" customFormat="1">
      <c r="A303" s="771">
        <v>8</v>
      </c>
      <c r="B303" s="808" t="s">
        <v>255</v>
      </c>
      <c r="C303" s="804" t="s">
        <v>51</v>
      </c>
      <c r="D303" s="801" t="s">
        <v>31</v>
      </c>
      <c r="E303" s="783"/>
      <c r="F303" s="783"/>
      <c r="G303" s="783"/>
      <c r="H303" s="783"/>
      <c r="I303" s="783"/>
      <c r="J303" s="783"/>
      <c r="K303" s="776"/>
      <c r="L303" s="776"/>
      <c r="M303" s="776"/>
      <c r="N303" s="776"/>
      <c r="O303" s="776"/>
      <c r="P303" s="776"/>
      <c r="Q303" s="783"/>
    </row>
    <row r="304" spans="1:17" s="769" customFormat="1">
      <c r="A304" s="771">
        <v>8.1</v>
      </c>
      <c r="B304" s="808" t="s">
        <v>771</v>
      </c>
      <c r="C304" s="804" t="s">
        <v>51</v>
      </c>
      <c r="D304" s="801" t="s">
        <v>31</v>
      </c>
      <c r="E304" s="783"/>
      <c r="F304" s="783"/>
      <c r="G304" s="783"/>
      <c r="H304" s="783"/>
      <c r="I304" s="783"/>
      <c r="J304" s="783"/>
      <c r="K304" s="776"/>
      <c r="L304" s="776"/>
      <c r="M304" s="776"/>
      <c r="N304" s="776"/>
      <c r="O304" s="776"/>
      <c r="P304" s="776"/>
      <c r="Q304" s="783"/>
    </row>
    <row r="305" spans="1:17" s="769" customFormat="1">
      <c r="A305" s="809" t="s">
        <v>767</v>
      </c>
      <c r="B305" s="810" t="s">
        <v>768</v>
      </c>
      <c r="C305" s="804" t="s">
        <v>51</v>
      </c>
      <c r="D305" s="801" t="s">
        <v>31</v>
      </c>
      <c r="E305" s="783">
        <f>NCong!M518</f>
        <v>743473.21289999981</v>
      </c>
      <c r="F305" s="783"/>
      <c r="G305" s="783">
        <f t="shared" ref="G305:J307" si="387">G232</f>
        <v>15756.390384615384</v>
      </c>
      <c r="H305" s="783">
        <f t="shared" si="387"/>
        <v>31754</v>
      </c>
      <c r="I305" s="783">
        <f t="shared" si="387"/>
        <v>9397.9480357142857</v>
      </c>
      <c r="J305" s="783">
        <f t="shared" si="387"/>
        <v>19023.2847</v>
      </c>
      <c r="K305" s="776">
        <f t="shared" ref="K305:K307" si="388">SUM(E305:J305)</f>
        <v>819404.8360203295</v>
      </c>
      <c r="L305" s="776">
        <f t="shared" ref="L305:L307" si="389">K305*15%</f>
        <v>122910.72540304942</v>
      </c>
      <c r="M305" s="776">
        <f t="shared" ref="M305:M307" si="390">K305+L305</f>
        <v>942315.56142337888</v>
      </c>
      <c r="N305" s="776">
        <f t="shared" ref="N305:N307" si="391">K305-I305</f>
        <v>810006.88798461517</v>
      </c>
      <c r="O305" s="776">
        <f t="shared" ref="O305:O307" si="392">$L$6*N305</f>
        <v>121501.03319769228</v>
      </c>
      <c r="P305" s="776">
        <f t="shared" ref="P305:P307" si="393">N305+O305</f>
        <v>931507.92118230741</v>
      </c>
      <c r="Q305" s="783">
        <f>NCong!P518</f>
        <v>22978.004923076922</v>
      </c>
    </row>
    <row r="306" spans="1:17" s="769" customFormat="1">
      <c r="A306" s="809" t="s">
        <v>767</v>
      </c>
      <c r="B306" s="810" t="s">
        <v>769</v>
      </c>
      <c r="C306" s="804" t="s">
        <v>51</v>
      </c>
      <c r="D306" s="801" t="s">
        <v>31</v>
      </c>
      <c r="E306" s="783">
        <f>NCong!N518</f>
        <v>921097.3909499998</v>
      </c>
      <c r="F306" s="783"/>
      <c r="G306" s="783">
        <f t="shared" si="387"/>
        <v>15756.390384615384</v>
      </c>
      <c r="H306" s="783">
        <f t="shared" si="387"/>
        <v>31754</v>
      </c>
      <c r="I306" s="783">
        <f t="shared" si="387"/>
        <v>9397.9480357142857</v>
      </c>
      <c r="J306" s="783">
        <f t="shared" si="387"/>
        <v>19023.2847</v>
      </c>
      <c r="K306" s="776">
        <f t="shared" si="388"/>
        <v>997029.01407032949</v>
      </c>
      <c r="L306" s="776">
        <f t="shared" si="389"/>
        <v>149554.35211054943</v>
      </c>
      <c r="M306" s="776">
        <f t="shared" si="390"/>
        <v>1146583.3661808788</v>
      </c>
      <c r="N306" s="776">
        <f t="shared" si="391"/>
        <v>987631.06603461516</v>
      </c>
      <c r="O306" s="776">
        <f t="shared" si="392"/>
        <v>148144.65990519227</v>
      </c>
      <c r="P306" s="776">
        <f t="shared" si="393"/>
        <v>1135775.7259398075</v>
      </c>
      <c r="Q306" s="783">
        <f>NCong!Q518</f>
        <v>28571.659769230766</v>
      </c>
    </row>
    <row r="307" spans="1:17" s="769" customFormat="1">
      <c r="A307" s="809" t="s">
        <v>767</v>
      </c>
      <c r="B307" s="810" t="s">
        <v>770</v>
      </c>
      <c r="C307" s="804" t="s">
        <v>51</v>
      </c>
      <c r="D307" s="801" t="s">
        <v>31</v>
      </c>
      <c r="E307" s="783">
        <f>NCong!O518</f>
        <v>1149756.0459</v>
      </c>
      <c r="F307" s="783"/>
      <c r="G307" s="783">
        <f t="shared" si="387"/>
        <v>20483.307499999999</v>
      </c>
      <c r="H307" s="783">
        <f t="shared" si="387"/>
        <v>31754</v>
      </c>
      <c r="I307" s="783">
        <f t="shared" si="387"/>
        <v>12217.332446428572</v>
      </c>
      <c r="J307" s="783">
        <f t="shared" si="387"/>
        <v>24730.270110000001</v>
      </c>
      <c r="K307" s="776">
        <f t="shared" si="388"/>
        <v>1238940.9559564285</v>
      </c>
      <c r="L307" s="776">
        <f t="shared" si="389"/>
        <v>185841.14339346427</v>
      </c>
      <c r="M307" s="776">
        <f t="shared" si="390"/>
        <v>1424782.0993498927</v>
      </c>
      <c r="N307" s="776">
        <f t="shared" si="391"/>
        <v>1226723.6235100001</v>
      </c>
      <c r="O307" s="776">
        <f t="shared" si="392"/>
        <v>184008.5435265</v>
      </c>
      <c r="P307" s="776">
        <f t="shared" si="393"/>
        <v>1410732.1670365001</v>
      </c>
      <c r="Q307" s="783">
        <f>NCong!R518</f>
        <v>35573.415307692303</v>
      </c>
    </row>
    <row r="308" spans="1:17" s="769" customFormat="1">
      <c r="A308" s="771">
        <v>8.1999999999999993</v>
      </c>
      <c r="B308" s="808" t="s">
        <v>772</v>
      </c>
      <c r="C308" s="804" t="s">
        <v>51</v>
      </c>
      <c r="D308" s="801" t="s">
        <v>31</v>
      </c>
      <c r="E308" s="783"/>
      <c r="F308" s="783"/>
      <c r="G308" s="783"/>
      <c r="H308" s="783"/>
      <c r="I308" s="783"/>
      <c r="J308" s="783"/>
      <c r="K308" s="776"/>
      <c r="L308" s="776"/>
      <c r="M308" s="776"/>
      <c r="N308" s="776"/>
      <c r="O308" s="776"/>
      <c r="P308" s="776"/>
      <c r="Q308" s="783"/>
    </row>
    <row r="309" spans="1:17" s="769" customFormat="1">
      <c r="A309" s="809" t="s">
        <v>767</v>
      </c>
      <c r="B309" s="810" t="s">
        <v>768</v>
      </c>
      <c r="C309" s="804" t="s">
        <v>51</v>
      </c>
      <c r="D309" s="801" t="s">
        <v>31</v>
      </c>
      <c r="E309" s="783">
        <f>E305</f>
        <v>743473.21289999981</v>
      </c>
      <c r="F309" s="783"/>
      <c r="G309" s="783">
        <f>G300</f>
        <v>9453.834230769231</v>
      </c>
      <c r="H309" s="783">
        <f t="shared" ref="H309:J309" si="394">H300</f>
        <v>10380.399999999998</v>
      </c>
      <c r="I309" s="783">
        <f t="shared" si="394"/>
        <v>5638.7688214285708</v>
      </c>
      <c r="J309" s="783">
        <f t="shared" si="394"/>
        <v>11413.97082</v>
      </c>
      <c r="K309" s="776">
        <f t="shared" ref="K309:K311" si="395">SUM(E309:J309)</f>
        <v>780360.1867721976</v>
      </c>
      <c r="L309" s="776">
        <f t="shared" ref="L309:L311" si="396">K309*15%</f>
        <v>117054.02801582964</v>
      </c>
      <c r="M309" s="776">
        <f t="shared" ref="M309:M311" si="397">K309+L309</f>
        <v>897414.21478802722</v>
      </c>
      <c r="N309" s="776">
        <f t="shared" ref="N309:N311" si="398">K309-I309</f>
        <v>774721.41795076907</v>
      </c>
      <c r="O309" s="776">
        <f t="shared" ref="O309:O311" si="399">$L$6*N309</f>
        <v>116208.21269261536</v>
      </c>
      <c r="P309" s="776">
        <f t="shared" ref="P309:P311" si="400">N309+O309</f>
        <v>890929.63064338441</v>
      </c>
      <c r="Q309" s="783">
        <f>Q305</f>
        <v>22978.004923076922</v>
      </c>
    </row>
    <row r="310" spans="1:17" s="769" customFormat="1">
      <c r="A310" s="809" t="s">
        <v>767</v>
      </c>
      <c r="B310" s="810" t="s">
        <v>769</v>
      </c>
      <c r="C310" s="804" t="s">
        <v>51</v>
      </c>
      <c r="D310" s="801" t="s">
        <v>31</v>
      </c>
      <c r="E310" s="783">
        <f t="shared" ref="E310:E311" si="401">E306</f>
        <v>921097.3909499998</v>
      </c>
      <c r="F310" s="783"/>
      <c r="G310" s="783">
        <f t="shared" ref="G310:J311" si="402">G301</f>
        <v>9453.834230769231</v>
      </c>
      <c r="H310" s="783">
        <f t="shared" si="402"/>
        <v>10380.399999999998</v>
      </c>
      <c r="I310" s="783">
        <f t="shared" si="402"/>
        <v>5638.7688214285708</v>
      </c>
      <c r="J310" s="783">
        <f t="shared" si="402"/>
        <v>11413.97082</v>
      </c>
      <c r="K310" s="776">
        <f t="shared" si="395"/>
        <v>957984.36482219759</v>
      </c>
      <c r="L310" s="776">
        <f t="shared" si="396"/>
        <v>143697.65472332964</v>
      </c>
      <c r="M310" s="776">
        <f t="shared" si="397"/>
        <v>1101682.0195455272</v>
      </c>
      <c r="N310" s="776">
        <f t="shared" si="398"/>
        <v>952345.59600076906</v>
      </c>
      <c r="O310" s="776">
        <f t="shared" si="399"/>
        <v>142851.83940011536</v>
      </c>
      <c r="P310" s="776">
        <f t="shared" si="400"/>
        <v>1095197.4354008844</v>
      </c>
      <c r="Q310" s="783">
        <f t="shared" ref="Q310:Q311" si="403">Q306</f>
        <v>28571.659769230766</v>
      </c>
    </row>
    <row r="311" spans="1:17" s="769" customFormat="1">
      <c r="A311" s="809" t="s">
        <v>767</v>
      </c>
      <c r="B311" s="810" t="s">
        <v>770</v>
      </c>
      <c r="C311" s="804" t="s">
        <v>51</v>
      </c>
      <c r="D311" s="801" t="s">
        <v>31</v>
      </c>
      <c r="E311" s="783">
        <f t="shared" si="401"/>
        <v>1149756.0459</v>
      </c>
      <c r="F311" s="783"/>
      <c r="G311" s="783">
        <f t="shared" si="402"/>
        <v>12289.984499999999</v>
      </c>
      <c r="H311" s="783">
        <f t="shared" si="402"/>
        <v>10380.399999999998</v>
      </c>
      <c r="I311" s="783">
        <f t="shared" si="402"/>
        <v>7330.3994678571435</v>
      </c>
      <c r="J311" s="783">
        <f t="shared" si="402"/>
        <v>14838.162066000001</v>
      </c>
      <c r="K311" s="776">
        <f t="shared" si="395"/>
        <v>1194594.9919338571</v>
      </c>
      <c r="L311" s="776">
        <f t="shared" si="396"/>
        <v>179189.24879007856</v>
      </c>
      <c r="M311" s="776">
        <f t="shared" si="397"/>
        <v>1373784.2407239357</v>
      </c>
      <c r="N311" s="776">
        <f t="shared" si="398"/>
        <v>1187264.592466</v>
      </c>
      <c r="O311" s="776">
        <f t="shared" si="399"/>
        <v>178089.68886989998</v>
      </c>
      <c r="P311" s="776">
        <f t="shared" si="400"/>
        <v>1365354.2813359001</v>
      </c>
      <c r="Q311" s="783">
        <f t="shared" si="403"/>
        <v>35573.415307692303</v>
      </c>
    </row>
    <row r="312" spans="1:17" s="769" customFormat="1">
      <c r="A312" s="771">
        <v>9</v>
      </c>
      <c r="B312" s="808" t="s">
        <v>256</v>
      </c>
      <c r="C312" s="804" t="s">
        <v>51</v>
      </c>
      <c r="D312" s="801" t="s">
        <v>31</v>
      </c>
      <c r="E312" s="783"/>
      <c r="F312" s="783"/>
      <c r="G312" s="783"/>
      <c r="H312" s="783"/>
      <c r="I312" s="783"/>
      <c r="J312" s="783"/>
      <c r="K312" s="776"/>
      <c r="L312" s="776"/>
      <c r="M312" s="776"/>
      <c r="N312" s="776"/>
      <c r="O312" s="776"/>
      <c r="P312" s="776"/>
      <c r="Q312" s="783"/>
    </row>
    <row r="313" spans="1:17" s="769" customFormat="1">
      <c r="A313" s="771">
        <v>9.1</v>
      </c>
      <c r="B313" s="808" t="s">
        <v>771</v>
      </c>
      <c r="C313" s="804" t="s">
        <v>51</v>
      </c>
      <c r="D313" s="801" t="s">
        <v>31</v>
      </c>
      <c r="E313" s="783"/>
      <c r="F313" s="783"/>
      <c r="G313" s="783"/>
      <c r="H313" s="783"/>
      <c r="I313" s="783"/>
      <c r="J313" s="783"/>
      <c r="K313" s="776"/>
      <c r="L313" s="776"/>
      <c r="M313" s="776"/>
      <c r="N313" s="776"/>
      <c r="O313" s="776"/>
      <c r="P313" s="776"/>
      <c r="Q313" s="783"/>
    </row>
    <row r="314" spans="1:17" s="769" customFormat="1">
      <c r="A314" s="809" t="s">
        <v>767</v>
      </c>
      <c r="B314" s="810" t="s">
        <v>768</v>
      </c>
      <c r="C314" s="804" t="s">
        <v>51</v>
      </c>
      <c r="D314" s="801" t="s">
        <v>31</v>
      </c>
      <c r="E314" s="783">
        <f>NCong!M519</f>
        <v>743473.21289999981</v>
      </c>
      <c r="F314" s="783"/>
      <c r="G314" s="783">
        <f t="shared" ref="G314:J316" si="404">G232</f>
        <v>15756.390384615384</v>
      </c>
      <c r="H314" s="783">
        <f t="shared" si="404"/>
        <v>31754</v>
      </c>
      <c r="I314" s="783">
        <f t="shared" si="404"/>
        <v>9397.9480357142857</v>
      </c>
      <c r="J314" s="783">
        <f t="shared" si="404"/>
        <v>19023.2847</v>
      </c>
      <c r="K314" s="776">
        <f t="shared" ref="K314:K316" si="405">SUM(E314:J314)</f>
        <v>819404.8360203295</v>
      </c>
      <c r="L314" s="776">
        <f t="shared" ref="L314:L316" si="406">K314*15%</f>
        <v>122910.72540304942</v>
      </c>
      <c r="M314" s="776">
        <f t="shared" ref="M314:M316" si="407">K314+L314</f>
        <v>942315.56142337888</v>
      </c>
      <c r="N314" s="776">
        <f t="shared" ref="N314:N316" si="408">K314-I314</f>
        <v>810006.88798461517</v>
      </c>
      <c r="O314" s="776">
        <f t="shared" ref="O314:O316" si="409">$L$6*N314</f>
        <v>121501.03319769228</v>
      </c>
      <c r="P314" s="776">
        <f t="shared" ref="P314:P316" si="410">N314+O314</f>
        <v>931507.92118230741</v>
      </c>
      <c r="Q314" s="783">
        <f>NCong!P519</f>
        <v>22978.004923076922</v>
      </c>
    </row>
    <row r="315" spans="1:17" s="769" customFormat="1">
      <c r="A315" s="809" t="s">
        <v>767</v>
      </c>
      <c r="B315" s="810" t="s">
        <v>769</v>
      </c>
      <c r="C315" s="804" t="s">
        <v>51</v>
      </c>
      <c r="D315" s="801" t="s">
        <v>31</v>
      </c>
      <c r="E315" s="783">
        <f>NCong!N519</f>
        <v>921097.3909499998</v>
      </c>
      <c r="F315" s="783"/>
      <c r="G315" s="783">
        <f t="shared" si="404"/>
        <v>15756.390384615384</v>
      </c>
      <c r="H315" s="783">
        <f t="shared" si="404"/>
        <v>31754</v>
      </c>
      <c r="I315" s="783">
        <f t="shared" si="404"/>
        <v>9397.9480357142857</v>
      </c>
      <c r="J315" s="783">
        <f t="shared" si="404"/>
        <v>19023.2847</v>
      </c>
      <c r="K315" s="776">
        <f t="shared" si="405"/>
        <v>997029.01407032949</v>
      </c>
      <c r="L315" s="776">
        <f t="shared" si="406"/>
        <v>149554.35211054943</v>
      </c>
      <c r="M315" s="776">
        <f t="shared" si="407"/>
        <v>1146583.3661808788</v>
      </c>
      <c r="N315" s="776">
        <f t="shared" si="408"/>
        <v>987631.06603461516</v>
      </c>
      <c r="O315" s="776">
        <f t="shared" si="409"/>
        <v>148144.65990519227</v>
      </c>
      <c r="P315" s="776">
        <f t="shared" si="410"/>
        <v>1135775.7259398075</v>
      </c>
      <c r="Q315" s="783">
        <f>NCong!Q519</f>
        <v>28571.659769230766</v>
      </c>
    </row>
    <row r="316" spans="1:17" s="769" customFormat="1">
      <c r="A316" s="809" t="s">
        <v>767</v>
      </c>
      <c r="B316" s="810" t="s">
        <v>770</v>
      </c>
      <c r="C316" s="804" t="s">
        <v>51</v>
      </c>
      <c r="D316" s="801" t="s">
        <v>31</v>
      </c>
      <c r="E316" s="783">
        <f>NCong!O519</f>
        <v>1149756.0459</v>
      </c>
      <c r="F316" s="783"/>
      <c r="G316" s="783">
        <f t="shared" si="404"/>
        <v>20483.307499999999</v>
      </c>
      <c r="H316" s="783">
        <f t="shared" si="404"/>
        <v>31754</v>
      </c>
      <c r="I316" s="783">
        <f t="shared" si="404"/>
        <v>12217.332446428572</v>
      </c>
      <c r="J316" s="783">
        <f t="shared" si="404"/>
        <v>24730.270110000001</v>
      </c>
      <c r="K316" s="776">
        <f t="shared" si="405"/>
        <v>1238940.9559564285</v>
      </c>
      <c r="L316" s="776">
        <f t="shared" si="406"/>
        <v>185841.14339346427</v>
      </c>
      <c r="M316" s="776">
        <f t="shared" si="407"/>
        <v>1424782.0993498927</v>
      </c>
      <c r="N316" s="776">
        <f t="shared" si="408"/>
        <v>1226723.6235100001</v>
      </c>
      <c r="O316" s="776">
        <f t="shared" si="409"/>
        <v>184008.5435265</v>
      </c>
      <c r="P316" s="776">
        <f t="shared" si="410"/>
        <v>1410732.1670365001</v>
      </c>
      <c r="Q316" s="783">
        <f>NCong!R519</f>
        <v>35573.415307692303</v>
      </c>
    </row>
    <row r="317" spans="1:17" s="769" customFormat="1">
      <c r="A317" s="771">
        <v>9.1999999999999993</v>
      </c>
      <c r="B317" s="808" t="s">
        <v>772</v>
      </c>
      <c r="C317" s="804" t="s">
        <v>51</v>
      </c>
      <c r="D317" s="801" t="s">
        <v>31</v>
      </c>
      <c r="E317" s="783"/>
      <c r="F317" s="783"/>
      <c r="G317" s="783"/>
      <c r="H317" s="783"/>
      <c r="I317" s="783"/>
      <c r="J317" s="783"/>
      <c r="K317" s="776"/>
      <c r="L317" s="776"/>
      <c r="M317" s="776"/>
      <c r="N317" s="776"/>
      <c r="O317" s="776"/>
      <c r="P317" s="776"/>
      <c r="Q317" s="783"/>
    </row>
    <row r="318" spans="1:17" s="769" customFormat="1">
      <c r="A318" s="809" t="s">
        <v>767</v>
      </c>
      <c r="B318" s="810" t="s">
        <v>768</v>
      </c>
      <c r="C318" s="804" t="s">
        <v>51</v>
      </c>
      <c r="D318" s="801" t="s">
        <v>31</v>
      </c>
      <c r="E318" s="783">
        <f>E314</f>
        <v>743473.21289999981</v>
      </c>
      <c r="F318" s="783"/>
      <c r="G318" s="783">
        <f>G309</f>
        <v>9453.834230769231</v>
      </c>
      <c r="H318" s="783">
        <f t="shared" ref="H318:J318" si="411">H309</f>
        <v>10380.399999999998</v>
      </c>
      <c r="I318" s="783">
        <f t="shared" si="411"/>
        <v>5638.7688214285708</v>
      </c>
      <c r="J318" s="783">
        <f t="shared" si="411"/>
        <v>11413.97082</v>
      </c>
      <c r="K318" s="776">
        <f t="shared" ref="K318:K320" si="412">SUM(E318:J318)</f>
        <v>780360.1867721976</v>
      </c>
      <c r="L318" s="776">
        <f t="shared" ref="L318:L320" si="413">K318*15%</f>
        <v>117054.02801582964</v>
      </c>
      <c r="M318" s="776">
        <f t="shared" ref="M318:M320" si="414">K318+L318</f>
        <v>897414.21478802722</v>
      </c>
      <c r="N318" s="776">
        <f t="shared" ref="N318:N320" si="415">K318-I318</f>
        <v>774721.41795076907</v>
      </c>
      <c r="O318" s="776">
        <f t="shared" ref="O318:O320" si="416">$L$6*N318</f>
        <v>116208.21269261536</v>
      </c>
      <c r="P318" s="776">
        <f t="shared" ref="P318:P320" si="417">N318+O318</f>
        <v>890929.63064338441</v>
      </c>
      <c r="Q318" s="783">
        <f>Q314</f>
        <v>22978.004923076922</v>
      </c>
    </row>
    <row r="319" spans="1:17" s="769" customFormat="1">
      <c r="A319" s="809" t="s">
        <v>767</v>
      </c>
      <c r="B319" s="810" t="s">
        <v>769</v>
      </c>
      <c r="C319" s="804" t="s">
        <v>51</v>
      </c>
      <c r="D319" s="801" t="s">
        <v>31</v>
      </c>
      <c r="E319" s="783">
        <f t="shared" ref="E319:E320" si="418">E315</f>
        <v>921097.3909499998</v>
      </c>
      <c r="F319" s="783"/>
      <c r="G319" s="783">
        <f t="shared" ref="G319:J320" si="419">G310</f>
        <v>9453.834230769231</v>
      </c>
      <c r="H319" s="783">
        <f t="shared" si="419"/>
        <v>10380.399999999998</v>
      </c>
      <c r="I319" s="783">
        <f t="shared" si="419"/>
        <v>5638.7688214285708</v>
      </c>
      <c r="J319" s="783">
        <f t="shared" si="419"/>
        <v>11413.97082</v>
      </c>
      <c r="K319" s="776">
        <f t="shared" si="412"/>
        <v>957984.36482219759</v>
      </c>
      <c r="L319" s="776">
        <f t="shared" si="413"/>
        <v>143697.65472332964</v>
      </c>
      <c r="M319" s="776">
        <f t="shared" si="414"/>
        <v>1101682.0195455272</v>
      </c>
      <c r="N319" s="776">
        <f t="shared" si="415"/>
        <v>952345.59600076906</v>
      </c>
      <c r="O319" s="776">
        <f t="shared" si="416"/>
        <v>142851.83940011536</v>
      </c>
      <c r="P319" s="776">
        <f t="shared" si="417"/>
        <v>1095197.4354008844</v>
      </c>
      <c r="Q319" s="783">
        <f t="shared" ref="Q319:Q320" si="420">Q315</f>
        <v>28571.659769230766</v>
      </c>
    </row>
    <row r="320" spans="1:17" s="769" customFormat="1">
      <c r="A320" s="809" t="s">
        <v>767</v>
      </c>
      <c r="B320" s="810" t="s">
        <v>770</v>
      </c>
      <c r="C320" s="804" t="s">
        <v>51</v>
      </c>
      <c r="D320" s="801" t="s">
        <v>31</v>
      </c>
      <c r="E320" s="783">
        <f t="shared" si="418"/>
        <v>1149756.0459</v>
      </c>
      <c r="F320" s="783"/>
      <c r="G320" s="783">
        <f t="shared" si="419"/>
        <v>12289.984499999999</v>
      </c>
      <c r="H320" s="783">
        <f t="shared" si="419"/>
        <v>10380.399999999998</v>
      </c>
      <c r="I320" s="783">
        <f t="shared" si="419"/>
        <v>7330.3994678571435</v>
      </c>
      <c r="J320" s="783">
        <f t="shared" si="419"/>
        <v>14838.162066000001</v>
      </c>
      <c r="K320" s="776">
        <f t="shared" si="412"/>
        <v>1194594.9919338571</v>
      </c>
      <c r="L320" s="776">
        <f t="shared" si="413"/>
        <v>179189.24879007856</v>
      </c>
      <c r="M320" s="776">
        <f t="shared" si="414"/>
        <v>1373784.2407239357</v>
      </c>
      <c r="N320" s="776">
        <f t="shared" si="415"/>
        <v>1187264.592466</v>
      </c>
      <c r="O320" s="776">
        <f t="shared" si="416"/>
        <v>178089.68886989998</v>
      </c>
      <c r="P320" s="776">
        <f t="shared" si="417"/>
        <v>1365354.2813359001</v>
      </c>
      <c r="Q320" s="783">
        <f t="shared" si="420"/>
        <v>35573.415307692303</v>
      </c>
    </row>
    <row r="321" spans="1:17" s="769" customFormat="1">
      <c r="A321" s="771">
        <v>10</v>
      </c>
      <c r="B321" s="808" t="s">
        <v>257</v>
      </c>
      <c r="C321" s="804" t="s">
        <v>51</v>
      </c>
      <c r="D321" s="801" t="s">
        <v>31</v>
      </c>
      <c r="E321" s="783"/>
      <c r="F321" s="783"/>
      <c r="G321" s="783"/>
      <c r="H321" s="783"/>
      <c r="I321" s="783"/>
      <c r="J321" s="783"/>
      <c r="K321" s="776"/>
      <c r="L321" s="776"/>
      <c r="M321" s="776"/>
      <c r="N321" s="776"/>
      <c r="O321" s="776"/>
      <c r="P321" s="776"/>
      <c r="Q321" s="783"/>
    </row>
    <row r="322" spans="1:17" s="769" customFormat="1">
      <c r="A322" s="771">
        <v>10.1</v>
      </c>
      <c r="B322" s="808" t="s">
        <v>771</v>
      </c>
      <c r="C322" s="804" t="s">
        <v>51</v>
      </c>
      <c r="D322" s="801" t="s">
        <v>31</v>
      </c>
      <c r="E322" s="783"/>
      <c r="F322" s="783"/>
      <c r="G322" s="783"/>
      <c r="H322" s="783"/>
      <c r="I322" s="783"/>
      <c r="J322" s="783"/>
      <c r="K322" s="776"/>
      <c r="L322" s="776"/>
      <c r="M322" s="776"/>
      <c r="N322" s="776"/>
      <c r="O322" s="776"/>
      <c r="P322" s="776"/>
      <c r="Q322" s="783"/>
    </row>
    <row r="323" spans="1:17" s="769" customFormat="1">
      <c r="A323" s="809" t="s">
        <v>767</v>
      </c>
      <c r="B323" s="810" t="s">
        <v>768</v>
      </c>
      <c r="C323" s="804" t="s">
        <v>51</v>
      </c>
      <c r="D323" s="801" t="s">
        <v>31</v>
      </c>
      <c r="E323" s="783">
        <f>NCong!M520</f>
        <v>743473.21289999981</v>
      </c>
      <c r="F323" s="783"/>
      <c r="G323" s="783">
        <f t="shared" ref="G323:J325" si="421">G232</f>
        <v>15756.390384615384</v>
      </c>
      <c r="H323" s="783">
        <f t="shared" si="421"/>
        <v>31754</v>
      </c>
      <c r="I323" s="783">
        <f t="shared" si="421"/>
        <v>9397.9480357142857</v>
      </c>
      <c r="J323" s="783">
        <f t="shared" si="421"/>
        <v>19023.2847</v>
      </c>
      <c r="K323" s="776">
        <f t="shared" ref="K323:K325" si="422">SUM(E323:J323)</f>
        <v>819404.8360203295</v>
      </c>
      <c r="L323" s="776">
        <f t="shared" ref="L323:L325" si="423">K323*15%</f>
        <v>122910.72540304942</v>
      </c>
      <c r="M323" s="776">
        <f t="shared" ref="M323:M325" si="424">K323+L323</f>
        <v>942315.56142337888</v>
      </c>
      <c r="N323" s="776">
        <f t="shared" ref="N323:N325" si="425">K323-I323</f>
        <v>810006.88798461517</v>
      </c>
      <c r="O323" s="776">
        <f t="shared" ref="O323:O325" si="426">$L$6*N323</f>
        <v>121501.03319769228</v>
      </c>
      <c r="P323" s="776">
        <f t="shared" ref="P323:P325" si="427">N323+O323</f>
        <v>931507.92118230741</v>
      </c>
      <c r="Q323" s="783">
        <f>NCong!P520</f>
        <v>22978.004923076922</v>
      </c>
    </row>
    <row r="324" spans="1:17" s="769" customFormat="1">
      <c r="A324" s="809" t="s">
        <v>767</v>
      </c>
      <c r="B324" s="810" t="s">
        <v>769</v>
      </c>
      <c r="C324" s="804" t="s">
        <v>51</v>
      </c>
      <c r="D324" s="801" t="s">
        <v>31</v>
      </c>
      <c r="E324" s="783">
        <f>NCong!N520</f>
        <v>921097.3909499998</v>
      </c>
      <c r="F324" s="783"/>
      <c r="G324" s="783">
        <f t="shared" si="421"/>
        <v>15756.390384615384</v>
      </c>
      <c r="H324" s="783">
        <f t="shared" si="421"/>
        <v>31754</v>
      </c>
      <c r="I324" s="783">
        <f t="shared" si="421"/>
        <v>9397.9480357142857</v>
      </c>
      <c r="J324" s="783">
        <f t="shared" si="421"/>
        <v>19023.2847</v>
      </c>
      <c r="K324" s="776">
        <f t="shared" si="422"/>
        <v>997029.01407032949</v>
      </c>
      <c r="L324" s="776">
        <f t="shared" si="423"/>
        <v>149554.35211054943</v>
      </c>
      <c r="M324" s="776">
        <f t="shared" si="424"/>
        <v>1146583.3661808788</v>
      </c>
      <c r="N324" s="776">
        <f t="shared" si="425"/>
        <v>987631.06603461516</v>
      </c>
      <c r="O324" s="776">
        <f t="shared" si="426"/>
        <v>148144.65990519227</v>
      </c>
      <c r="P324" s="776">
        <f t="shared" si="427"/>
        <v>1135775.7259398075</v>
      </c>
      <c r="Q324" s="783">
        <f>NCong!Q520</f>
        <v>28571.659769230766</v>
      </c>
    </row>
    <row r="325" spans="1:17" s="769" customFormat="1">
      <c r="A325" s="809" t="s">
        <v>767</v>
      </c>
      <c r="B325" s="810" t="s">
        <v>770</v>
      </c>
      <c r="C325" s="804" t="s">
        <v>51</v>
      </c>
      <c r="D325" s="801" t="s">
        <v>31</v>
      </c>
      <c r="E325" s="783">
        <f>NCong!O520</f>
        <v>1149756.0459</v>
      </c>
      <c r="F325" s="783"/>
      <c r="G325" s="783">
        <f t="shared" si="421"/>
        <v>20483.307499999999</v>
      </c>
      <c r="H325" s="783">
        <f t="shared" si="421"/>
        <v>31754</v>
      </c>
      <c r="I325" s="783">
        <f t="shared" si="421"/>
        <v>12217.332446428572</v>
      </c>
      <c r="J325" s="783">
        <f t="shared" si="421"/>
        <v>24730.270110000001</v>
      </c>
      <c r="K325" s="776">
        <f t="shared" si="422"/>
        <v>1238940.9559564285</v>
      </c>
      <c r="L325" s="776">
        <f t="shared" si="423"/>
        <v>185841.14339346427</v>
      </c>
      <c r="M325" s="776">
        <f t="shared" si="424"/>
        <v>1424782.0993498927</v>
      </c>
      <c r="N325" s="776">
        <f t="shared" si="425"/>
        <v>1226723.6235100001</v>
      </c>
      <c r="O325" s="776">
        <f t="shared" si="426"/>
        <v>184008.5435265</v>
      </c>
      <c r="P325" s="776">
        <f t="shared" si="427"/>
        <v>1410732.1670365001</v>
      </c>
      <c r="Q325" s="783">
        <f>NCong!R520</f>
        <v>35573.415307692303</v>
      </c>
    </row>
    <row r="326" spans="1:17" s="769" customFormat="1">
      <c r="A326" s="771">
        <v>10.199999999999999</v>
      </c>
      <c r="B326" s="808" t="s">
        <v>772</v>
      </c>
      <c r="C326" s="804" t="s">
        <v>51</v>
      </c>
      <c r="D326" s="801" t="s">
        <v>31</v>
      </c>
      <c r="E326" s="783"/>
      <c r="F326" s="783"/>
      <c r="G326" s="783"/>
      <c r="H326" s="783"/>
      <c r="I326" s="783"/>
      <c r="J326" s="783"/>
      <c r="K326" s="776"/>
      <c r="L326" s="776"/>
      <c r="M326" s="776"/>
      <c r="N326" s="776"/>
      <c r="O326" s="776"/>
      <c r="P326" s="776"/>
      <c r="Q326" s="783"/>
    </row>
    <row r="327" spans="1:17" s="769" customFormat="1">
      <c r="A327" s="809" t="s">
        <v>767</v>
      </c>
      <c r="B327" s="810" t="s">
        <v>768</v>
      </c>
      <c r="C327" s="804" t="s">
        <v>51</v>
      </c>
      <c r="D327" s="801" t="s">
        <v>31</v>
      </c>
      <c r="E327" s="783">
        <f>E323</f>
        <v>743473.21289999981</v>
      </c>
      <c r="F327" s="783"/>
      <c r="G327" s="783">
        <f>G318</f>
        <v>9453.834230769231</v>
      </c>
      <c r="H327" s="783">
        <f t="shared" ref="H327:J327" si="428">H318</f>
        <v>10380.399999999998</v>
      </c>
      <c r="I327" s="783">
        <f t="shared" si="428"/>
        <v>5638.7688214285708</v>
      </c>
      <c r="J327" s="783">
        <f t="shared" si="428"/>
        <v>11413.97082</v>
      </c>
      <c r="K327" s="776">
        <f t="shared" ref="K327:K329" si="429">SUM(E327:J327)</f>
        <v>780360.1867721976</v>
      </c>
      <c r="L327" s="776">
        <f t="shared" ref="L327:L329" si="430">K327*15%</f>
        <v>117054.02801582964</v>
      </c>
      <c r="M327" s="776">
        <f t="shared" ref="M327:M329" si="431">K327+L327</f>
        <v>897414.21478802722</v>
      </c>
      <c r="N327" s="776">
        <f t="shared" ref="N327:N329" si="432">K327-I327</f>
        <v>774721.41795076907</v>
      </c>
      <c r="O327" s="776">
        <f t="shared" ref="O327:O329" si="433">$L$6*N327</f>
        <v>116208.21269261536</v>
      </c>
      <c r="P327" s="776">
        <f t="shared" ref="P327:P329" si="434">N327+O327</f>
        <v>890929.63064338441</v>
      </c>
      <c r="Q327" s="783">
        <f>Q323</f>
        <v>22978.004923076922</v>
      </c>
    </row>
    <row r="328" spans="1:17" s="769" customFormat="1">
      <c r="A328" s="809" t="s">
        <v>767</v>
      </c>
      <c r="B328" s="810" t="s">
        <v>769</v>
      </c>
      <c r="C328" s="804" t="s">
        <v>51</v>
      </c>
      <c r="D328" s="801" t="s">
        <v>31</v>
      </c>
      <c r="E328" s="783">
        <f t="shared" ref="E328:E329" si="435">E324</f>
        <v>921097.3909499998</v>
      </c>
      <c r="F328" s="783"/>
      <c r="G328" s="783">
        <f t="shared" ref="G328:J329" si="436">G319</f>
        <v>9453.834230769231</v>
      </c>
      <c r="H328" s="783">
        <f t="shared" si="436"/>
        <v>10380.399999999998</v>
      </c>
      <c r="I328" s="783">
        <f t="shared" si="436"/>
        <v>5638.7688214285708</v>
      </c>
      <c r="J328" s="783">
        <f t="shared" si="436"/>
        <v>11413.97082</v>
      </c>
      <c r="K328" s="776">
        <f t="shared" si="429"/>
        <v>957984.36482219759</v>
      </c>
      <c r="L328" s="776">
        <f t="shared" si="430"/>
        <v>143697.65472332964</v>
      </c>
      <c r="M328" s="776">
        <f t="shared" si="431"/>
        <v>1101682.0195455272</v>
      </c>
      <c r="N328" s="776">
        <f t="shared" si="432"/>
        <v>952345.59600076906</v>
      </c>
      <c r="O328" s="776">
        <f t="shared" si="433"/>
        <v>142851.83940011536</v>
      </c>
      <c r="P328" s="776">
        <f t="shared" si="434"/>
        <v>1095197.4354008844</v>
      </c>
      <c r="Q328" s="783">
        <f t="shared" ref="Q328:Q329" si="437">Q324</f>
        <v>28571.659769230766</v>
      </c>
    </row>
    <row r="329" spans="1:17" s="769" customFormat="1">
      <c r="A329" s="809" t="s">
        <v>767</v>
      </c>
      <c r="B329" s="810" t="s">
        <v>770</v>
      </c>
      <c r="C329" s="804" t="s">
        <v>51</v>
      </c>
      <c r="D329" s="801" t="s">
        <v>31</v>
      </c>
      <c r="E329" s="783">
        <f t="shared" si="435"/>
        <v>1149756.0459</v>
      </c>
      <c r="F329" s="783"/>
      <c r="G329" s="783">
        <f t="shared" si="436"/>
        <v>12289.984499999999</v>
      </c>
      <c r="H329" s="783">
        <f t="shared" si="436"/>
        <v>10380.399999999998</v>
      </c>
      <c r="I329" s="783">
        <f t="shared" si="436"/>
        <v>7330.3994678571435</v>
      </c>
      <c r="J329" s="783">
        <f t="shared" si="436"/>
        <v>14838.162066000001</v>
      </c>
      <c r="K329" s="776">
        <f t="shared" si="429"/>
        <v>1194594.9919338571</v>
      </c>
      <c r="L329" s="776">
        <f t="shared" si="430"/>
        <v>179189.24879007856</v>
      </c>
      <c r="M329" s="776">
        <f t="shared" si="431"/>
        <v>1373784.2407239357</v>
      </c>
      <c r="N329" s="776">
        <f t="shared" si="432"/>
        <v>1187264.592466</v>
      </c>
      <c r="O329" s="776">
        <f t="shared" si="433"/>
        <v>178089.68886989998</v>
      </c>
      <c r="P329" s="776">
        <f t="shared" si="434"/>
        <v>1365354.2813359001</v>
      </c>
      <c r="Q329" s="783">
        <f t="shared" si="437"/>
        <v>35573.415307692303</v>
      </c>
    </row>
    <row r="330" spans="1:17" s="769" customFormat="1">
      <c r="A330" s="771">
        <v>11</v>
      </c>
      <c r="B330" s="808" t="s">
        <v>258</v>
      </c>
      <c r="C330" s="804" t="s">
        <v>51</v>
      </c>
      <c r="D330" s="801" t="s">
        <v>31</v>
      </c>
      <c r="E330" s="783"/>
      <c r="F330" s="783"/>
      <c r="G330" s="783"/>
      <c r="H330" s="783"/>
      <c r="I330" s="783"/>
      <c r="J330" s="783"/>
      <c r="K330" s="776"/>
      <c r="L330" s="776"/>
      <c r="M330" s="776"/>
      <c r="N330" s="776"/>
      <c r="O330" s="776"/>
      <c r="P330" s="776"/>
      <c r="Q330" s="783"/>
    </row>
    <row r="331" spans="1:17" s="769" customFormat="1">
      <c r="A331" s="771">
        <v>11.1</v>
      </c>
      <c r="B331" s="808" t="s">
        <v>771</v>
      </c>
      <c r="C331" s="804" t="s">
        <v>51</v>
      </c>
      <c r="D331" s="801" t="s">
        <v>31</v>
      </c>
      <c r="E331" s="783"/>
      <c r="F331" s="783"/>
      <c r="G331" s="783"/>
      <c r="H331" s="783"/>
      <c r="I331" s="783"/>
      <c r="J331" s="783"/>
      <c r="K331" s="776"/>
      <c r="L331" s="776"/>
      <c r="M331" s="776"/>
      <c r="N331" s="776"/>
      <c r="O331" s="776"/>
      <c r="P331" s="776"/>
      <c r="Q331" s="783"/>
    </row>
    <row r="332" spans="1:17" s="769" customFormat="1">
      <c r="A332" s="809" t="s">
        <v>767</v>
      </c>
      <c r="B332" s="810" t="s">
        <v>768</v>
      </c>
      <c r="C332" s="804" t="s">
        <v>51</v>
      </c>
      <c r="D332" s="801" t="s">
        <v>31</v>
      </c>
      <c r="E332" s="783">
        <f>E336</f>
        <v>746265.11849999987</v>
      </c>
      <c r="F332" s="783"/>
      <c r="G332" s="783">
        <f>G323</f>
        <v>15756.390384615384</v>
      </c>
      <c r="H332" s="783">
        <f t="shared" ref="H332:J332" si="438">H323</f>
        <v>31754</v>
      </c>
      <c r="I332" s="783">
        <f t="shared" si="438"/>
        <v>9397.9480357142857</v>
      </c>
      <c r="J332" s="783">
        <f t="shared" si="438"/>
        <v>19023.2847</v>
      </c>
      <c r="K332" s="776">
        <f t="shared" ref="K332:K334" si="439">SUM(E332:J332)</f>
        <v>822196.74162032956</v>
      </c>
      <c r="L332" s="776">
        <f t="shared" ref="L332:L334" si="440">K332*15%</f>
        <v>123329.51124304943</v>
      </c>
      <c r="M332" s="776">
        <f t="shared" ref="M332:M334" si="441">K332+L332</f>
        <v>945526.25286337896</v>
      </c>
      <c r="N332" s="776">
        <f t="shared" ref="N332:N334" si="442">K332-I332</f>
        <v>812798.79358461522</v>
      </c>
      <c r="O332" s="776">
        <f t="shared" ref="O332:O334" si="443">$L$6*N332</f>
        <v>121919.81903769227</v>
      </c>
      <c r="P332" s="776">
        <f t="shared" ref="P332:P334" si="444">N332+O332</f>
        <v>934718.6126223075</v>
      </c>
      <c r="Q332" s="783">
        <f>Q336</f>
        <v>23053.359999999997</v>
      </c>
    </row>
    <row r="333" spans="1:17" s="769" customFormat="1">
      <c r="A333" s="809" t="s">
        <v>767</v>
      </c>
      <c r="B333" s="810" t="s">
        <v>769</v>
      </c>
      <c r="C333" s="804" t="s">
        <v>51</v>
      </c>
      <c r="D333" s="801" t="s">
        <v>31</v>
      </c>
      <c r="E333" s="783">
        <f t="shared" ref="E333:E334" si="445">E337</f>
        <v>924952.12424999988</v>
      </c>
      <c r="F333" s="783"/>
      <c r="G333" s="783">
        <f t="shared" ref="G333:J334" si="446">G324</f>
        <v>15756.390384615384</v>
      </c>
      <c r="H333" s="783">
        <f t="shared" si="446"/>
        <v>31754</v>
      </c>
      <c r="I333" s="783">
        <f t="shared" si="446"/>
        <v>9397.9480357142857</v>
      </c>
      <c r="J333" s="783">
        <f t="shared" si="446"/>
        <v>19023.2847</v>
      </c>
      <c r="K333" s="776">
        <f t="shared" si="439"/>
        <v>1000883.7473703296</v>
      </c>
      <c r="L333" s="776">
        <f t="shared" si="440"/>
        <v>150132.56210554944</v>
      </c>
      <c r="M333" s="776">
        <f t="shared" si="441"/>
        <v>1151016.309475879</v>
      </c>
      <c r="N333" s="776">
        <f t="shared" si="442"/>
        <v>991485.79933461524</v>
      </c>
      <c r="O333" s="776">
        <f t="shared" si="443"/>
        <v>148722.86990019228</v>
      </c>
      <c r="P333" s="776">
        <f t="shared" si="444"/>
        <v>1140208.6692348076</v>
      </c>
      <c r="Q333" s="783">
        <f t="shared" ref="Q333:Q334" si="447">Q337</f>
        <v>28675.701153846148</v>
      </c>
    </row>
    <row r="334" spans="1:17" s="769" customFormat="1">
      <c r="A334" s="809" t="s">
        <v>767</v>
      </c>
      <c r="B334" s="810" t="s">
        <v>770</v>
      </c>
      <c r="C334" s="804" t="s">
        <v>51</v>
      </c>
      <c r="D334" s="801" t="s">
        <v>31</v>
      </c>
      <c r="E334" s="783">
        <f t="shared" si="445"/>
        <v>1156751.6730000002</v>
      </c>
      <c r="F334" s="783"/>
      <c r="G334" s="783">
        <f t="shared" si="446"/>
        <v>20483.307499999999</v>
      </c>
      <c r="H334" s="783">
        <f t="shared" si="446"/>
        <v>31754</v>
      </c>
      <c r="I334" s="783">
        <f t="shared" si="446"/>
        <v>12217.332446428572</v>
      </c>
      <c r="J334" s="783">
        <f t="shared" si="446"/>
        <v>24730.270110000001</v>
      </c>
      <c r="K334" s="776">
        <f t="shared" si="439"/>
        <v>1245936.5830564287</v>
      </c>
      <c r="L334" s="776">
        <f t="shared" si="440"/>
        <v>186890.48745846431</v>
      </c>
      <c r="M334" s="776">
        <f t="shared" si="441"/>
        <v>1432827.0705148929</v>
      </c>
      <c r="N334" s="776">
        <f t="shared" si="442"/>
        <v>1233719.2506100002</v>
      </c>
      <c r="O334" s="776">
        <f t="shared" si="443"/>
        <v>185057.88759150004</v>
      </c>
      <c r="P334" s="776">
        <f t="shared" si="444"/>
        <v>1418777.1382015003</v>
      </c>
      <c r="Q334" s="783">
        <f t="shared" si="447"/>
        <v>35762.231153846144</v>
      </c>
    </row>
    <row r="335" spans="1:17" s="769" customFormat="1">
      <c r="A335" s="771">
        <v>11.2</v>
      </c>
      <c r="B335" s="808" t="s">
        <v>772</v>
      </c>
      <c r="C335" s="804"/>
      <c r="D335" s="801"/>
      <c r="E335" s="783"/>
      <c r="F335" s="783"/>
      <c r="G335" s="783"/>
      <c r="H335" s="783"/>
      <c r="I335" s="783"/>
      <c r="J335" s="783"/>
      <c r="K335" s="776"/>
      <c r="L335" s="776"/>
      <c r="M335" s="776"/>
      <c r="N335" s="776"/>
      <c r="O335" s="776"/>
      <c r="P335" s="776"/>
      <c r="Q335" s="783"/>
    </row>
    <row r="336" spans="1:17" s="769" customFormat="1">
      <c r="A336" s="809" t="s">
        <v>767</v>
      </c>
      <c r="B336" s="810" t="s">
        <v>768</v>
      </c>
      <c r="C336" s="804" t="s">
        <v>51</v>
      </c>
      <c r="D336" s="801" t="s">
        <v>31</v>
      </c>
      <c r="E336" s="783">
        <f>NCong!M521</f>
        <v>746265.11849999987</v>
      </c>
      <c r="F336" s="783"/>
      <c r="G336" s="783">
        <f>G327</f>
        <v>9453.834230769231</v>
      </c>
      <c r="H336" s="783">
        <f t="shared" ref="H336:J336" si="448">H327</f>
        <v>10380.399999999998</v>
      </c>
      <c r="I336" s="783">
        <f t="shared" si="448"/>
        <v>5638.7688214285708</v>
      </c>
      <c r="J336" s="783">
        <f t="shared" si="448"/>
        <v>11413.97082</v>
      </c>
      <c r="K336" s="776">
        <f t="shared" ref="K336:K338" si="449">SUM(E336:J336)</f>
        <v>783152.09237219766</v>
      </c>
      <c r="L336" s="776">
        <f t="shared" ref="L336:L338" si="450">K336*15%</f>
        <v>117472.81385582965</v>
      </c>
      <c r="M336" s="776">
        <f t="shared" ref="M336:M338" si="451">K336+L336</f>
        <v>900624.90622802731</v>
      </c>
      <c r="N336" s="776">
        <f t="shared" ref="N336:N338" si="452">K336-I336</f>
        <v>777513.32355076913</v>
      </c>
      <c r="O336" s="776">
        <f t="shared" ref="O336:O338" si="453">$L$6*N336</f>
        <v>116626.99853261537</v>
      </c>
      <c r="P336" s="776">
        <f t="shared" ref="P336:P338" si="454">N336+O336</f>
        <v>894140.3220833845</v>
      </c>
      <c r="Q336" s="783">
        <f>NCong!P521</f>
        <v>23053.359999999997</v>
      </c>
    </row>
    <row r="337" spans="1:17" s="769" customFormat="1">
      <c r="A337" s="809" t="s">
        <v>767</v>
      </c>
      <c r="B337" s="810" t="s">
        <v>769</v>
      </c>
      <c r="C337" s="804" t="s">
        <v>51</v>
      </c>
      <c r="D337" s="801" t="s">
        <v>31</v>
      </c>
      <c r="E337" s="783">
        <f>NCong!N521</f>
        <v>924952.12424999988</v>
      </c>
      <c r="F337" s="783"/>
      <c r="G337" s="783">
        <f t="shared" ref="G337:J338" si="455">G328</f>
        <v>9453.834230769231</v>
      </c>
      <c r="H337" s="783">
        <f t="shared" si="455"/>
        <v>10380.399999999998</v>
      </c>
      <c r="I337" s="783">
        <f t="shared" si="455"/>
        <v>5638.7688214285708</v>
      </c>
      <c r="J337" s="783">
        <f t="shared" si="455"/>
        <v>11413.97082</v>
      </c>
      <c r="K337" s="776">
        <f t="shared" si="449"/>
        <v>961839.09812219767</v>
      </c>
      <c r="L337" s="776">
        <f t="shared" si="450"/>
        <v>144275.86471832966</v>
      </c>
      <c r="M337" s="776">
        <f t="shared" si="451"/>
        <v>1106114.9628405273</v>
      </c>
      <c r="N337" s="776">
        <f t="shared" si="452"/>
        <v>956200.32930076914</v>
      </c>
      <c r="O337" s="776">
        <f t="shared" si="453"/>
        <v>143430.04939511538</v>
      </c>
      <c r="P337" s="776">
        <f t="shared" si="454"/>
        <v>1099630.3786958845</v>
      </c>
      <c r="Q337" s="783">
        <f>NCong!Q521</f>
        <v>28675.701153846148</v>
      </c>
    </row>
    <row r="338" spans="1:17" s="769" customFormat="1">
      <c r="A338" s="809" t="s">
        <v>767</v>
      </c>
      <c r="B338" s="810" t="s">
        <v>770</v>
      </c>
      <c r="C338" s="804" t="s">
        <v>51</v>
      </c>
      <c r="D338" s="801" t="s">
        <v>31</v>
      </c>
      <c r="E338" s="783">
        <f>NCong!O521</f>
        <v>1156751.6730000002</v>
      </c>
      <c r="F338" s="783"/>
      <c r="G338" s="783">
        <f t="shared" si="455"/>
        <v>12289.984499999999</v>
      </c>
      <c r="H338" s="783">
        <f t="shared" si="455"/>
        <v>10380.399999999998</v>
      </c>
      <c r="I338" s="783">
        <f t="shared" si="455"/>
        <v>7330.3994678571435</v>
      </c>
      <c r="J338" s="783">
        <f t="shared" si="455"/>
        <v>14838.162066000001</v>
      </c>
      <c r="K338" s="776">
        <f t="shared" si="449"/>
        <v>1201590.6190338572</v>
      </c>
      <c r="L338" s="776">
        <f t="shared" si="450"/>
        <v>180238.59285507858</v>
      </c>
      <c r="M338" s="776">
        <f t="shared" si="451"/>
        <v>1381829.2118889359</v>
      </c>
      <c r="N338" s="776">
        <f t="shared" si="452"/>
        <v>1194260.2195660002</v>
      </c>
      <c r="O338" s="776">
        <f t="shared" si="453"/>
        <v>179139.03293490002</v>
      </c>
      <c r="P338" s="776">
        <f t="shared" si="454"/>
        <v>1373399.2525009001</v>
      </c>
      <c r="Q338" s="783">
        <f>NCong!R521</f>
        <v>35762.231153846144</v>
      </c>
    </row>
    <row r="339" spans="1:17" s="769" customFormat="1">
      <c r="A339" s="771">
        <v>12</v>
      </c>
      <c r="B339" s="808" t="s">
        <v>259</v>
      </c>
      <c r="C339" s="804" t="s">
        <v>51</v>
      </c>
      <c r="D339" s="801" t="s">
        <v>31</v>
      </c>
      <c r="E339" s="783"/>
      <c r="F339" s="783"/>
      <c r="G339" s="783"/>
      <c r="H339" s="783"/>
      <c r="I339" s="783"/>
      <c r="J339" s="783"/>
      <c r="K339" s="776"/>
      <c r="L339" s="776"/>
      <c r="M339" s="776"/>
      <c r="N339" s="776"/>
      <c r="O339" s="776"/>
      <c r="P339" s="776"/>
      <c r="Q339" s="783"/>
    </row>
    <row r="340" spans="1:17" s="769" customFormat="1">
      <c r="A340" s="771">
        <v>12.1</v>
      </c>
      <c r="B340" s="808" t="s">
        <v>771</v>
      </c>
      <c r="C340" s="804" t="s">
        <v>51</v>
      </c>
      <c r="D340" s="801" t="s">
        <v>31</v>
      </c>
      <c r="E340" s="783"/>
      <c r="F340" s="783"/>
      <c r="G340" s="783"/>
      <c r="H340" s="783"/>
      <c r="I340" s="783"/>
      <c r="J340" s="783"/>
      <c r="K340" s="776"/>
      <c r="L340" s="776"/>
      <c r="M340" s="776"/>
      <c r="N340" s="776"/>
      <c r="O340" s="776"/>
      <c r="P340" s="776"/>
      <c r="Q340" s="783"/>
    </row>
    <row r="341" spans="1:17" s="769" customFormat="1">
      <c r="A341" s="809" t="s">
        <v>767</v>
      </c>
      <c r="B341" s="810" t="s">
        <v>768</v>
      </c>
      <c r="C341" s="804" t="s">
        <v>51</v>
      </c>
      <c r="D341" s="801" t="s">
        <v>31</v>
      </c>
      <c r="E341" s="783">
        <f>E345</f>
        <v>744869.16569999978</v>
      </c>
      <c r="F341" s="783"/>
      <c r="G341" s="783">
        <f>G332</f>
        <v>15756.390384615384</v>
      </c>
      <c r="H341" s="783">
        <f t="shared" ref="H341:J341" si="456">H332</f>
        <v>31754</v>
      </c>
      <c r="I341" s="783">
        <f t="shared" si="456"/>
        <v>9397.9480357142857</v>
      </c>
      <c r="J341" s="783">
        <f t="shared" si="456"/>
        <v>19023.2847</v>
      </c>
      <c r="K341" s="776">
        <f t="shared" ref="K341:K343" si="457">SUM(E341:J341)</f>
        <v>820800.78882032947</v>
      </c>
      <c r="L341" s="776">
        <f t="shared" ref="L341:L343" si="458">K341*15%</f>
        <v>123120.11832304942</v>
      </c>
      <c r="M341" s="776">
        <f t="shared" ref="M341:M343" si="459">K341+L341</f>
        <v>943920.90714337886</v>
      </c>
      <c r="N341" s="776">
        <f t="shared" ref="N341:N343" si="460">K341-I341</f>
        <v>811402.84078461514</v>
      </c>
      <c r="O341" s="776">
        <f t="shared" ref="O341:O343" si="461">$L$6*N341</f>
        <v>121710.42611769226</v>
      </c>
      <c r="P341" s="776">
        <f t="shared" ref="P341:P343" si="462">N341+O341</f>
        <v>933113.2669023074</v>
      </c>
      <c r="Q341" s="783">
        <f>NCong!P522</f>
        <v>23015.682461538458</v>
      </c>
    </row>
    <row r="342" spans="1:17" s="769" customFormat="1">
      <c r="A342" s="809" t="s">
        <v>767</v>
      </c>
      <c r="B342" s="810" t="s">
        <v>769</v>
      </c>
      <c r="C342" s="804" t="s">
        <v>51</v>
      </c>
      <c r="D342" s="801" t="s">
        <v>31</v>
      </c>
      <c r="E342" s="783">
        <f t="shared" ref="E342:E343" si="463">E346</f>
        <v>923024.7575999999</v>
      </c>
      <c r="F342" s="783"/>
      <c r="G342" s="783">
        <f t="shared" ref="G342:J343" si="464">G333</f>
        <v>15756.390384615384</v>
      </c>
      <c r="H342" s="783">
        <f t="shared" si="464"/>
        <v>31754</v>
      </c>
      <c r="I342" s="783">
        <f t="shared" si="464"/>
        <v>9397.9480357142857</v>
      </c>
      <c r="J342" s="783">
        <f t="shared" si="464"/>
        <v>19023.2847</v>
      </c>
      <c r="K342" s="776">
        <f t="shared" si="457"/>
        <v>998956.38072032959</v>
      </c>
      <c r="L342" s="776">
        <f t="shared" si="458"/>
        <v>149843.45710804942</v>
      </c>
      <c r="M342" s="776">
        <f t="shared" si="459"/>
        <v>1148799.8378283791</v>
      </c>
      <c r="N342" s="776">
        <f t="shared" si="460"/>
        <v>989558.43268461525</v>
      </c>
      <c r="O342" s="776">
        <f t="shared" si="461"/>
        <v>148433.76490269229</v>
      </c>
      <c r="P342" s="776">
        <f t="shared" si="462"/>
        <v>1137992.1975873075</v>
      </c>
      <c r="Q342" s="783">
        <f>NCong!Q522</f>
        <v>28623.680461538457</v>
      </c>
    </row>
    <row r="343" spans="1:17" s="769" customFormat="1">
      <c r="A343" s="809" t="s">
        <v>767</v>
      </c>
      <c r="B343" s="810" t="s">
        <v>770</v>
      </c>
      <c r="C343" s="804" t="s">
        <v>51</v>
      </c>
      <c r="D343" s="801" t="s">
        <v>31</v>
      </c>
      <c r="E343" s="783">
        <f t="shared" si="463"/>
        <v>1153253.8594500001</v>
      </c>
      <c r="F343" s="783"/>
      <c r="G343" s="783">
        <f t="shared" si="464"/>
        <v>20483.307499999999</v>
      </c>
      <c r="H343" s="783">
        <f t="shared" si="464"/>
        <v>31754</v>
      </c>
      <c r="I343" s="783">
        <f t="shared" si="464"/>
        <v>12217.332446428572</v>
      </c>
      <c r="J343" s="783">
        <f t="shared" si="464"/>
        <v>24730.270110000001</v>
      </c>
      <c r="K343" s="776">
        <f t="shared" si="457"/>
        <v>1242438.7695064286</v>
      </c>
      <c r="L343" s="776">
        <f t="shared" si="458"/>
        <v>186365.81542596428</v>
      </c>
      <c r="M343" s="776">
        <f t="shared" si="459"/>
        <v>1428804.5849323929</v>
      </c>
      <c r="N343" s="776">
        <f t="shared" si="460"/>
        <v>1230221.4370600001</v>
      </c>
      <c r="O343" s="776">
        <f t="shared" si="461"/>
        <v>184533.215559</v>
      </c>
      <c r="P343" s="776">
        <f t="shared" si="462"/>
        <v>1414754.6526190001</v>
      </c>
      <c r="Q343" s="783">
        <f>NCong!R522</f>
        <v>35667.823230769223</v>
      </c>
    </row>
    <row r="344" spans="1:17" s="769" customFormat="1">
      <c r="A344" s="771">
        <v>12.2</v>
      </c>
      <c r="B344" s="808" t="s">
        <v>772</v>
      </c>
      <c r="C344" s="804"/>
      <c r="D344" s="801"/>
      <c r="E344" s="783"/>
      <c r="F344" s="783"/>
      <c r="G344" s="783"/>
      <c r="H344" s="783"/>
      <c r="I344" s="783"/>
      <c r="J344" s="783"/>
      <c r="K344" s="776"/>
      <c r="L344" s="776"/>
      <c r="M344" s="776"/>
      <c r="N344" s="776"/>
      <c r="O344" s="776"/>
      <c r="P344" s="776"/>
      <c r="Q344" s="783"/>
    </row>
    <row r="345" spans="1:17" s="769" customFormat="1">
      <c r="A345" s="809" t="s">
        <v>767</v>
      </c>
      <c r="B345" s="810" t="s">
        <v>768</v>
      </c>
      <c r="C345" s="804" t="s">
        <v>51</v>
      </c>
      <c r="D345" s="801" t="s">
        <v>31</v>
      </c>
      <c r="E345" s="783">
        <f>NCong!M522</f>
        <v>744869.16569999978</v>
      </c>
      <c r="F345" s="783"/>
      <c r="G345" s="783">
        <f>G336</f>
        <v>9453.834230769231</v>
      </c>
      <c r="H345" s="783">
        <f t="shared" ref="H345:J345" si="465">H336</f>
        <v>10380.399999999998</v>
      </c>
      <c r="I345" s="783">
        <f t="shared" si="465"/>
        <v>5638.7688214285708</v>
      </c>
      <c r="J345" s="783">
        <f t="shared" si="465"/>
        <v>11413.97082</v>
      </c>
      <c r="K345" s="776">
        <f t="shared" ref="K345:K347" si="466">SUM(E345:J345)</f>
        <v>781756.13957219757</v>
      </c>
      <c r="L345" s="776">
        <f t="shared" ref="L345:L347" si="467">K345*15%</f>
        <v>117263.42093582964</v>
      </c>
      <c r="M345" s="776">
        <f t="shared" ref="M345:M347" si="468">K345+L345</f>
        <v>899019.56050802721</v>
      </c>
      <c r="N345" s="776">
        <f t="shared" ref="N345:N347" si="469">K345-I345</f>
        <v>776117.37075076904</v>
      </c>
      <c r="O345" s="776">
        <f t="shared" ref="O345:O347" si="470">$L$6*N345</f>
        <v>116417.60561261536</v>
      </c>
      <c r="P345" s="776">
        <f t="shared" ref="P345:P347" si="471">N345+O345</f>
        <v>892534.9763633844</v>
      </c>
      <c r="Q345" s="783">
        <f>Q341</f>
        <v>23015.682461538458</v>
      </c>
    </row>
    <row r="346" spans="1:17" s="769" customFormat="1">
      <c r="A346" s="809" t="s">
        <v>767</v>
      </c>
      <c r="B346" s="810" t="s">
        <v>769</v>
      </c>
      <c r="C346" s="804" t="s">
        <v>51</v>
      </c>
      <c r="D346" s="801" t="s">
        <v>31</v>
      </c>
      <c r="E346" s="783">
        <f>NCong!N522</f>
        <v>923024.7575999999</v>
      </c>
      <c r="F346" s="783"/>
      <c r="G346" s="783">
        <f t="shared" ref="G346:J347" si="472">G337</f>
        <v>9453.834230769231</v>
      </c>
      <c r="H346" s="783">
        <f t="shared" si="472"/>
        <v>10380.399999999998</v>
      </c>
      <c r="I346" s="783">
        <f t="shared" si="472"/>
        <v>5638.7688214285708</v>
      </c>
      <c r="J346" s="783">
        <f t="shared" si="472"/>
        <v>11413.97082</v>
      </c>
      <c r="K346" s="776">
        <f t="shared" si="466"/>
        <v>959911.73147219769</v>
      </c>
      <c r="L346" s="776">
        <f t="shared" si="467"/>
        <v>143986.75972082964</v>
      </c>
      <c r="M346" s="776">
        <f t="shared" si="468"/>
        <v>1103898.4911930272</v>
      </c>
      <c r="N346" s="776">
        <f t="shared" si="469"/>
        <v>954272.96265076916</v>
      </c>
      <c r="O346" s="776">
        <f t="shared" si="470"/>
        <v>143140.94439761536</v>
      </c>
      <c r="P346" s="776">
        <f t="shared" si="471"/>
        <v>1097413.9070483844</v>
      </c>
      <c r="Q346" s="783">
        <f t="shared" ref="Q346:Q347" si="473">Q342</f>
        <v>28623.680461538457</v>
      </c>
    </row>
    <row r="347" spans="1:17" s="769" customFormat="1">
      <c r="A347" s="809" t="s">
        <v>767</v>
      </c>
      <c r="B347" s="810" t="s">
        <v>770</v>
      </c>
      <c r="C347" s="804" t="s">
        <v>51</v>
      </c>
      <c r="D347" s="801" t="s">
        <v>31</v>
      </c>
      <c r="E347" s="783">
        <f>NCong!O522</f>
        <v>1153253.8594500001</v>
      </c>
      <c r="F347" s="783"/>
      <c r="G347" s="783">
        <f t="shared" si="472"/>
        <v>12289.984499999999</v>
      </c>
      <c r="H347" s="783">
        <f t="shared" si="472"/>
        <v>10380.399999999998</v>
      </c>
      <c r="I347" s="783">
        <f t="shared" si="472"/>
        <v>7330.3994678571435</v>
      </c>
      <c r="J347" s="783">
        <f t="shared" si="472"/>
        <v>14838.162066000001</v>
      </c>
      <c r="K347" s="776">
        <f t="shared" si="466"/>
        <v>1198092.8054838572</v>
      </c>
      <c r="L347" s="776">
        <f t="shared" si="467"/>
        <v>179713.92082257857</v>
      </c>
      <c r="M347" s="776">
        <f t="shared" si="468"/>
        <v>1377806.7263064357</v>
      </c>
      <c r="N347" s="776">
        <f t="shared" si="469"/>
        <v>1190762.4060160001</v>
      </c>
      <c r="O347" s="776">
        <f t="shared" si="470"/>
        <v>178614.36090240002</v>
      </c>
      <c r="P347" s="776">
        <f t="shared" si="471"/>
        <v>1369376.7669184001</v>
      </c>
      <c r="Q347" s="783">
        <f t="shared" si="473"/>
        <v>35667.823230769223</v>
      </c>
    </row>
    <row r="348" spans="1:17" s="769" customFormat="1" ht="14">
      <c r="A348" s="771">
        <v>13</v>
      </c>
      <c r="B348" s="808" t="s">
        <v>260</v>
      </c>
      <c r="C348" s="804" t="s">
        <v>51</v>
      </c>
      <c r="D348" s="801" t="s">
        <v>31</v>
      </c>
      <c r="E348" s="783"/>
      <c r="F348" s="783"/>
      <c r="G348" s="783"/>
      <c r="H348" s="783"/>
      <c r="I348" s="783"/>
      <c r="J348" s="783"/>
      <c r="K348" s="776"/>
      <c r="L348" s="776"/>
      <c r="M348" s="776"/>
      <c r="N348" s="776"/>
      <c r="O348" s="776"/>
      <c r="P348" s="776"/>
      <c r="Q348" s="783"/>
    </row>
    <row r="349" spans="1:17" s="769" customFormat="1">
      <c r="A349" s="771">
        <v>13.1</v>
      </c>
      <c r="B349" s="808" t="s">
        <v>771</v>
      </c>
      <c r="C349" s="804" t="s">
        <v>51</v>
      </c>
      <c r="D349" s="801" t="s">
        <v>31</v>
      </c>
      <c r="E349" s="783"/>
      <c r="F349" s="783"/>
      <c r="G349" s="783"/>
      <c r="H349" s="783"/>
      <c r="I349" s="783"/>
      <c r="J349" s="783"/>
      <c r="K349" s="776"/>
      <c r="L349" s="776"/>
      <c r="M349" s="776"/>
      <c r="N349" s="776"/>
      <c r="O349" s="776"/>
      <c r="P349" s="776"/>
      <c r="Q349" s="783"/>
    </row>
    <row r="350" spans="1:17" s="769" customFormat="1">
      <c r="A350" s="809" t="s">
        <v>767</v>
      </c>
      <c r="B350" s="810" t="s">
        <v>768</v>
      </c>
      <c r="C350" s="804" t="s">
        <v>51</v>
      </c>
      <c r="D350" s="801" t="s">
        <v>31</v>
      </c>
      <c r="E350" s="783">
        <f>NCong!M523</f>
        <v>746265.11849999987</v>
      </c>
      <c r="F350" s="783"/>
      <c r="G350" s="783">
        <f t="shared" ref="G350:J352" si="474">G232</f>
        <v>15756.390384615384</v>
      </c>
      <c r="H350" s="783">
        <f t="shared" si="474"/>
        <v>31754</v>
      </c>
      <c r="I350" s="783">
        <f t="shared" si="474"/>
        <v>9397.9480357142857</v>
      </c>
      <c r="J350" s="783">
        <f t="shared" si="474"/>
        <v>19023.2847</v>
      </c>
      <c r="K350" s="776">
        <f t="shared" ref="K350:K352" si="475">SUM(E350:J350)</f>
        <v>822196.74162032956</v>
      </c>
      <c r="L350" s="776">
        <f t="shared" ref="L350:L352" si="476">K350*15%</f>
        <v>123329.51124304943</v>
      </c>
      <c r="M350" s="776">
        <f t="shared" ref="M350:M352" si="477">K350+L350</f>
        <v>945526.25286337896</v>
      </c>
      <c r="N350" s="776">
        <f t="shared" ref="N350:N352" si="478">K350-I350</f>
        <v>812798.79358461522</v>
      </c>
      <c r="O350" s="776">
        <f t="shared" ref="O350:O352" si="479">$L$6*N350</f>
        <v>121919.81903769227</v>
      </c>
      <c r="P350" s="776">
        <f t="shared" ref="P350:P352" si="480">N350+O350</f>
        <v>934718.6126223075</v>
      </c>
      <c r="Q350" s="783">
        <f>NCong!P523</f>
        <v>23053.359999999997</v>
      </c>
    </row>
    <row r="351" spans="1:17" s="769" customFormat="1">
      <c r="A351" s="809" t="s">
        <v>767</v>
      </c>
      <c r="B351" s="810" t="s">
        <v>769</v>
      </c>
      <c r="C351" s="804" t="s">
        <v>51</v>
      </c>
      <c r="D351" s="801" t="s">
        <v>31</v>
      </c>
      <c r="E351" s="783">
        <f>NCong!N523</f>
        <v>924952.12424999988</v>
      </c>
      <c r="F351" s="783"/>
      <c r="G351" s="783">
        <f t="shared" si="474"/>
        <v>15756.390384615384</v>
      </c>
      <c r="H351" s="783">
        <f t="shared" si="474"/>
        <v>31754</v>
      </c>
      <c r="I351" s="783">
        <f t="shared" si="474"/>
        <v>9397.9480357142857</v>
      </c>
      <c r="J351" s="783">
        <f t="shared" si="474"/>
        <v>19023.2847</v>
      </c>
      <c r="K351" s="776">
        <f t="shared" si="475"/>
        <v>1000883.7473703296</v>
      </c>
      <c r="L351" s="776">
        <f t="shared" si="476"/>
        <v>150132.56210554944</v>
      </c>
      <c r="M351" s="776">
        <f t="shared" si="477"/>
        <v>1151016.309475879</v>
      </c>
      <c r="N351" s="776">
        <f t="shared" si="478"/>
        <v>991485.79933461524</v>
      </c>
      <c r="O351" s="776">
        <f t="shared" si="479"/>
        <v>148722.86990019228</v>
      </c>
      <c r="P351" s="776">
        <f t="shared" si="480"/>
        <v>1140208.6692348076</v>
      </c>
      <c r="Q351" s="783">
        <f>NCong!Q523</f>
        <v>28675.701153846148</v>
      </c>
    </row>
    <row r="352" spans="1:17" s="769" customFormat="1">
      <c r="A352" s="809" t="s">
        <v>767</v>
      </c>
      <c r="B352" s="810" t="s">
        <v>770</v>
      </c>
      <c r="C352" s="804" t="s">
        <v>51</v>
      </c>
      <c r="D352" s="801" t="s">
        <v>31</v>
      </c>
      <c r="E352" s="783">
        <f>NCong!O523</f>
        <v>1156751.6730000002</v>
      </c>
      <c r="F352" s="783"/>
      <c r="G352" s="783">
        <f t="shared" si="474"/>
        <v>20483.307499999999</v>
      </c>
      <c r="H352" s="783">
        <f t="shared" si="474"/>
        <v>31754</v>
      </c>
      <c r="I352" s="783">
        <f t="shared" si="474"/>
        <v>12217.332446428572</v>
      </c>
      <c r="J352" s="783">
        <f t="shared" si="474"/>
        <v>24730.270110000001</v>
      </c>
      <c r="K352" s="776">
        <f t="shared" si="475"/>
        <v>1245936.5830564287</v>
      </c>
      <c r="L352" s="776">
        <f t="shared" si="476"/>
        <v>186890.48745846431</v>
      </c>
      <c r="M352" s="776">
        <f t="shared" si="477"/>
        <v>1432827.0705148929</v>
      </c>
      <c r="N352" s="776">
        <f t="shared" si="478"/>
        <v>1233719.2506100002</v>
      </c>
      <c r="O352" s="776">
        <f t="shared" si="479"/>
        <v>185057.88759150004</v>
      </c>
      <c r="P352" s="776">
        <f t="shared" si="480"/>
        <v>1418777.1382015003</v>
      </c>
      <c r="Q352" s="783">
        <f>NCong!R523</f>
        <v>35762.231153846144</v>
      </c>
    </row>
    <row r="353" spans="1:17" s="769" customFormat="1">
      <c r="A353" s="771">
        <v>13.2</v>
      </c>
      <c r="B353" s="808" t="s">
        <v>772</v>
      </c>
      <c r="C353" s="804" t="s">
        <v>51</v>
      </c>
      <c r="D353" s="801" t="s">
        <v>31</v>
      </c>
      <c r="E353" s="783"/>
      <c r="F353" s="783"/>
      <c r="G353" s="783"/>
      <c r="H353" s="783"/>
      <c r="I353" s="783"/>
      <c r="J353" s="783"/>
      <c r="K353" s="776"/>
      <c r="L353" s="776"/>
      <c r="M353" s="776"/>
      <c r="N353" s="776"/>
      <c r="O353" s="776"/>
      <c r="P353" s="776"/>
      <c r="Q353" s="783"/>
    </row>
    <row r="354" spans="1:17" s="769" customFormat="1">
      <c r="A354" s="809" t="s">
        <v>767</v>
      </c>
      <c r="B354" s="810" t="s">
        <v>768</v>
      </c>
      <c r="C354" s="804" t="s">
        <v>51</v>
      </c>
      <c r="D354" s="801" t="s">
        <v>31</v>
      </c>
      <c r="E354" s="783">
        <f>E350</f>
        <v>746265.11849999987</v>
      </c>
      <c r="F354" s="783"/>
      <c r="G354" s="783">
        <f>G345</f>
        <v>9453.834230769231</v>
      </c>
      <c r="H354" s="783">
        <f t="shared" ref="H354:J354" si="481">H345</f>
        <v>10380.399999999998</v>
      </c>
      <c r="I354" s="783">
        <f t="shared" si="481"/>
        <v>5638.7688214285708</v>
      </c>
      <c r="J354" s="783">
        <f t="shared" si="481"/>
        <v>11413.97082</v>
      </c>
      <c r="K354" s="776">
        <f t="shared" ref="K354:K356" si="482">SUM(E354:J354)</f>
        <v>783152.09237219766</v>
      </c>
      <c r="L354" s="776">
        <f t="shared" ref="L354:L356" si="483">K354*15%</f>
        <v>117472.81385582965</v>
      </c>
      <c r="M354" s="776">
        <f t="shared" ref="M354:M356" si="484">K354+L354</f>
        <v>900624.90622802731</v>
      </c>
      <c r="N354" s="776">
        <f t="shared" ref="N354:N356" si="485">K354-I354</f>
        <v>777513.32355076913</v>
      </c>
      <c r="O354" s="776">
        <f t="shared" ref="O354:O356" si="486">$L$6*N354</f>
        <v>116626.99853261537</v>
      </c>
      <c r="P354" s="776">
        <f t="shared" ref="P354:P356" si="487">N354+O354</f>
        <v>894140.3220833845</v>
      </c>
      <c r="Q354" s="783">
        <f>Q350</f>
        <v>23053.359999999997</v>
      </c>
    </row>
    <row r="355" spans="1:17" s="769" customFormat="1">
      <c r="A355" s="809" t="s">
        <v>767</v>
      </c>
      <c r="B355" s="810" t="s">
        <v>769</v>
      </c>
      <c r="C355" s="804" t="s">
        <v>51</v>
      </c>
      <c r="D355" s="801" t="s">
        <v>31</v>
      </c>
      <c r="E355" s="783">
        <f t="shared" ref="E355:E356" si="488">E351</f>
        <v>924952.12424999988</v>
      </c>
      <c r="F355" s="783"/>
      <c r="G355" s="783">
        <f t="shared" ref="G355:J356" si="489">G346</f>
        <v>9453.834230769231</v>
      </c>
      <c r="H355" s="783">
        <f t="shared" si="489"/>
        <v>10380.399999999998</v>
      </c>
      <c r="I355" s="783">
        <f t="shared" si="489"/>
        <v>5638.7688214285708</v>
      </c>
      <c r="J355" s="783">
        <f t="shared" si="489"/>
        <v>11413.97082</v>
      </c>
      <c r="K355" s="776">
        <f t="shared" si="482"/>
        <v>961839.09812219767</v>
      </c>
      <c r="L355" s="776">
        <f t="shared" si="483"/>
        <v>144275.86471832966</v>
      </c>
      <c r="M355" s="776">
        <f t="shared" si="484"/>
        <v>1106114.9628405273</v>
      </c>
      <c r="N355" s="776">
        <f t="shared" si="485"/>
        <v>956200.32930076914</v>
      </c>
      <c r="O355" s="776">
        <f t="shared" si="486"/>
        <v>143430.04939511538</v>
      </c>
      <c r="P355" s="776">
        <f t="shared" si="487"/>
        <v>1099630.3786958845</v>
      </c>
      <c r="Q355" s="783">
        <f t="shared" ref="Q355:Q356" si="490">Q351</f>
        <v>28675.701153846148</v>
      </c>
    </row>
    <row r="356" spans="1:17" s="769" customFormat="1">
      <c r="A356" s="809" t="s">
        <v>767</v>
      </c>
      <c r="B356" s="810" t="s">
        <v>770</v>
      </c>
      <c r="C356" s="804" t="s">
        <v>51</v>
      </c>
      <c r="D356" s="801" t="s">
        <v>31</v>
      </c>
      <c r="E356" s="783">
        <f t="shared" si="488"/>
        <v>1156751.6730000002</v>
      </c>
      <c r="F356" s="783"/>
      <c r="G356" s="783">
        <f t="shared" si="489"/>
        <v>12289.984499999999</v>
      </c>
      <c r="H356" s="783">
        <f t="shared" si="489"/>
        <v>10380.399999999998</v>
      </c>
      <c r="I356" s="783">
        <f t="shared" si="489"/>
        <v>7330.3994678571435</v>
      </c>
      <c r="J356" s="783">
        <f t="shared" si="489"/>
        <v>14838.162066000001</v>
      </c>
      <c r="K356" s="776">
        <f t="shared" si="482"/>
        <v>1201590.6190338572</v>
      </c>
      <c r="L356" s="776">
        <f t="shared" si="483"/>
        <v>180238.59285507858</v>
      </c>
      <c r="M356" s="776">
        <f t="shared" si="484"/>
        <v>1381829.2118889359</v>
      </c>
      <c r="N356" s="776">
        <f t="shared" si="485"/>
        <v>1194260.2195660002</v>
      </c>
      <c r="O356" s="776">
        <f t="shared" si="486"/>
        <v>179139.03293490002</v>
      </c>
      <c r="P356" s="776">
        <f t="shared" si="487"/>
        <v>1373399.2525009001</v>
      </c>
      <c r="Q356" s="783">
        <f t="shared" si="490"/>
        <v>35762.231153846144</v>
      </c>
    </row>
    <row r="357" spans="1:17" s="769" customFormat="1" ht="14">
      <c r="A357" s="771">
        <v>14</v>
      </c>
      <c r="B357" s="808" t="s">
        <v>261</v>
      </c>
      <c r="C357" s="804" t="s">
        <v>51</v>
      </c>
      <c r="D357" s="801" t="s">
        <v>31</v>
      </c>
      <c r="E357" s="783"/>
      <c r="F357" s="783"/>
      <c r="G357" s="783"/>
      <c r="H357" s="783"/>
      <c r="I357" s="783"/>
      <c r="J357" s="783"/>
      <c r="K357" s="776"/>
      <c r="L357" s="776"/>
      <c r="M357" s="776"/>
      <c r="N357" s="776"/>
      <c r="O357" s="776"/>
      <c r="P357" s="776"/>
      <c r="Q357" s="783"/>
    </row>
    <row r="358" spans="1:17" s="769" customFormat="1">
      <c r="A358" s="771">
        <v>14.1</v>
      </c>
      <c r="B358" s="808" t="s">
        <v>771</v>
      </c>
      <c r="C358" s="804" t="s">
        <v>51</v>
      </c>
      <c r="D358" s="801" t="s">
        <v>31</v>
      </c>
      <c r="E358" s="783"/>
      <c r="F358" s="783"/>
      <c r="G358" s="783"/>
      <c r="H358" s="783"/>
      <c r="I358" s="783"/>
      <c r="J358" s="783"/>
      <c r="K358" s="776"/>
      <c r="L358" s="776"/>
      <c r="M358" s="776"/>
      <c r="N358" s="776"/>
      <c r="O358" s="776"/>
      <c r="P358" s="776"/>
      <c r="Q358" s="783"/>
    </row>
    <row r="359" spans="1:17" s="769" customFormat="1">
      <c r="A359" s="809" t="s">
        <v>767</v>
      </c>
      <c r="B359" s="810" t="s">
        <v>768</v>
      </c>
      <c r="C359" s="804" t="s">
        <v>51</v>
      </c>
      <c r="D359" s="801" t="s">
        <v>31</v>
      </c>
      <c r="E359" s="783">
        <f>NCong!M524</f>
        <v>743473.21289999981</v>
      </c>
      <c r="F359" s="783"/>
      <c r="G359" s="783">
        <f t="shared" ref="G359:J361" si="491">G232</f>
        <v>15756.390384615384</v>
      </c>
      <c r="H359" s="783">
        <f t="shared" si="491"/>
        <v>31754</v>
      </c>
      <c r="I359" s="783">
        <f t="shared" si="491"/>
        <v>9397.9480357142857</v>
      </c>
      <c r="J359" s="783">
        <f t="shared" si="491"/>
        <v>19023.2847</v>
      </c>
      <c r="K359" s="776">
        <f t="shared" ref="K359:K361" si="492">SUM(E359:J359)</f>
        <v>819404.8360203295</v>
      </c>
      <c r="L359" s="776">
        <f t="shared" ref="L359:L361" si="493">K359*15%</f>
        <v>122910.72540304942</v>
      </c>
      <c r="M359" s="776">
        <f t="shared" ref="M359:M361" si="494">K359+L359</f>
        <v>942315.56142337888</v>
      </c>
      <c r="N359" s="776">
        <f t="shared" ref="N359:N361" si="495">K359-I359</f>
        <v>810006.88798461517</v>
      </c>
      <c r="O359" s="776">
        <f t="shared" ref="O359:O361" si="496">$L$6*N359</f>
        <v>121501.03319769228</v>
      </c>
      <c r="P359" s="776">
        <f t="shared" ref="P359:P361" si="497">N359+O359</f>
        <v>931507.92118230741</v>
      </c>
      <c r="Q359" s="783">
        <f>NCong!P524</f>
        <v>22978.004923076922</v>
      </c>
    </row>
    <row r="360" spans="1:17" s="769" customFormat="1">
      <c r="A360" s="809" t="s">
        <v>767</v>
      </c>
      <c r="B360" s="810" t="s">
        <v>769</v>
      </c>
      <c r="C360" s="804" t="s">
        <v>51</v>
      </c>
      <c r="D360" s="801" t="s">
        <v>31</v>
      </c>
      <c r="E360" s="783">
        <f>NCong!N524</f>
        <v>921097.3909499998</v>
      </c>
      <c r="F360" s="783"/>
      <c r="G360" s="783">
        <f t="shared" si="491"/>
        <v>15756.390384615384</v>
      </c>
      <c r="H360" s="783">
        <f t="shared" si="491"/>
        <v>31754</v>
      </c>
      <c r="I360" s="783">
        <f t="shared" si="491"/>
        <v>9397.9480357142857</v>
      </c>
      <c r="J360" s="783">
        <f t="shared" si="491"/>
        <v>19023.2847</v>
      </c>
      <c r="K360" s="776">
        <f t="shared" si="492"/>
        <v>997029.01407032949</v>
      </c>
      <c r="L360" s="776">
        <f t="shared" si="493"/>
        <v>149554.35211054943</v>
      </c>
      <c r="M360" s="776">
        <f t="shared" si="494"/>
        <v>1146583.3661808788</v>
      </c>
      <c r="N360" s="776">
        <f t="shared" si="495"/>
        <v>987631.06603461516</v>
      </c>
      <c r="O360" s="776">
        <f t="shared" si="496"/>
        <v>148144.65990519227</v>
      </c>
      <c r="P360" s="776">
        <f t="shared" si="497"/>
        <v>1135775.7259398075</v>
      </c>
      <c r="Q360" s="783">
        <f>NCong!Q524</f>
        <v>28571.659769230766</v>
      </c>
    </row>
    <row r="361" spans="1:17" s="769" customFormat="1">
      <c r="A361" s="809" t="s">
        <v>767</v>
      </c>
      <c r="B361" s="810" t="s">
        <v>770</v>
      </c>
      <c r="C361" s="804" t="s">
        <v>51</v>
      </c>
      <c r="D361" s="801" t="s">
        <v>31</v>
      </c>
      <c r="E361" s="783">
        <f>NCong!O524</f>
        <v>1149756.0459</v>
      </c>
      <c r="F361" s="783"/>
      <c r="G361" s="783">
        <f t="shared" si="491"/>
        <v>20483.307499999999</v>
      </c>
      <c r="H361" s="783">
        <f t="shared" si="491"/>
        <v>31754</v>
      </c>
      <c r="I361" s="783">
        <f t="shared" si="491"/>
        <v>12217.332446428572</v>
      </c>
      <c r="J361" s="783">
        <f t="shared" si="491"/>
        <v>24730.270110000001</v>
      </c>
      <c r="K361" s="776">
        <f t="shared" si="492"/>
        <v>1238940.9559564285</v>
      </c>
      <c r="L361" s="776">
        <f t="shared" si="493"/>
        <v>185841.14339346427</v>
      </c>
      <c r="M361" s="776">
        <f t="shared" si="494"/>
        <v>1424782.0993498927</v>
      </c>
      <c r="N361" s="776">
        <f t="shared" si="495"/>
        <v>1226723.6235100001</v>
      </c>
      <c r="O361" s="776">
        <f t="shared" si="496"/>
        <v>184008.5435265</v>
      </c>
      <c r="P361" s="776">
        <f t="shared" si="497"/>
        <v>1410732.1670365001</v>
      </c>
      <c r="Q361" s="783">
        <f>NCong!R524</f>
        <v>35573.415307692303</v>
      </c>
    </row>
    <row r="362" spans="1:17" s="769" customFormat="1">
      <c r="A362" s="771">
        <v>14.2</v>
      </c>
      <c r="B362" s="808" t="s">
        <v>772</v>
      </c>
      <c r="C362" s="804" t="s">
        <v>51</v>
      </c>
      <c r="D362" s="801" t="s">
        <v>31</v>
      </c>
      <c r="E362" s="783"/>
      <c r="F362" s="783"/>
      <c r="G362" s="783"/>
      <c r="H362" s="783"/>
      <c r="I362" s="783"/>
      <c r="J362" s="783"/>
      <c r="K362" s="776"/>
      <c r="L362" s="776"/>
      <c r="M362" s="776"/>
      <c r="N362" s="776"/>
      <c r="O362" s="776"/>
      <c r="P362" s="776"/>
      <c r="Q362" s="783"/>
    </row>
    <row r="363" spans="1:17" s="769" customFormat="1">
      <c r="A363" s="809" t="s">
        <v>767</v>
      </c>
      <c r="B363" s="810" t="s">
        <v>768</v>
      </c>
      <c r="C363" s="804" t="s">
        <v>51</v>
      </c>
      <c r="D363" s="801" t="s">
        <v>31</v>
      </c>
      <c r="E363" s="783">
        <f>E359</f>
        <v>743473.21289999981</v>
      </c>
      <c r="F363" s="783"/>
      <c r="G363" s="783">
        <f>G354</f>
        <v>9453.834230769231</v>
      </c>
      <c r="H363" s="783">
        <f t="shared" ref="H363:J363" si="498">H354</f>
        <v>10380.399999999998</v>
      </c>
      <c r="I363" s="783">
        <f t="shared" si="498"/>
        <v>5638.7688214285708</v>
      </c>
      <c r="J363" s="783">
        <f t="shared" si="498"/>
        <v>11413.97082</v>
      </c>
      <c r="K363" s="776">
        <f t="shared" ref="K363:K365" si="499">SUM(E363:J363)</f>
        <v>780360.1867721976</v>
      </c>
      <c r="L363" s="776">
        <f t="shared" ref="L363:L365" si="500">K363*15%</f>
        <v>117054.02801582964</v>
      </c>
      <c r="M363" s="776">
        <f t="shared" ref="M363:M365" si="501">K363+L363</f>
        <v>897414.21478802722</v>
      </c>
      <c r="N363" s="776">
        <f t="shared" ref="N363:N365" si="502">K363-I363</f>
        <v>774721.41795076907</v>
      </c>
      <c r="O363" s="776">
        <f t="shared" ref="O363:O365" si="503">$L$6*N363</f>
        <v>116208.21269261536</v>
      </c>
      <c r="P363" s="776">
        <f t="shared" ref="P363:P365" si="504">N363+O363</f>
        <v>890929.63064338441</v>
      </c>
      <c r="Q363" s="783">
        <f>Q359</f>
        <v>22978.004923076922</v>
      </c>
    </row>
    <row r="364" spans="1:17" s="769" customFormat="1">
      <c r="A364" s="809" t="s">
        <v>767</v>
      </c>
      <c r="B364" s="810" t="s">
        <v>769</v>
      </c>
      <c r="C364" s="804" t="s">
        <v>51</v>
      </c>
      <c r="D364" s="801" t="s">
        <v>31</v>
      </c>
      <c r="E364" s="783">
        <f t="shared" ref="E364:E365" si="505">E360</f>
        <v>921097.3909499998</v>
      </c>
      <c r="F364" s="783"/>
      <c r="G364" s="783">
        <f t="shared" ref="G364:J365" si="506">G355</f>
        <v>9453.834230769231</v>
      </c>
      <c r="H364" s="783">
        <f t="shared" si="506"/>
        <v>10380.399999999998</v>
      </c>
      <c r="I364" s="783">
        <f t="shared" si="506"/>
        <v>5638.7688214285708</v>
      </c>
      <c r="J364" s="783">
        <f t="shared" si="506"/>
        <v>11413.97082</v>
      </c>
      <c r="K364" s="776">
        <f t="shared" si="499"/>
        <v>957984.36482219759</v>
      </c>
      <c r="L364" s="776">
        <f t="shared" si="500"/>
        <v>143697.65472332964</v>
      </c>
      <c r="M364" s="776">
        <f t="shared" si="501"/>
        <v>1101682.0195455272</v>
      </c>
      <c r="N364" s="776">
        <f t="shared" si="502"/>
        <v>952345.59600076906</v>
      </c>
      <c r="O364" s="776">
        <f t="shared" si="503"/>
        <v>142851.83940011536</v>
      </c>
      <c r="P364" s="776">
        <f t="shared" si="504"/>
        <v>1095197.4354008844</v>
      </c>
      <c r="Q364" s="783">
        <f t="shared" ref="Q364:Q365" si="507">Q360</f>
        <v>28571.659769230766</v>
      </c>
    </row>
    <row r="365" spans="1:17" s="769" customFormat="1">
      <c r="A365" s="809" t="s">
        <v>767</v>
      </c>
      <c r="B365" s="810" t="s">
        <v>770</v>
      </c>
      <c r="C365" s="804" t="s">
        <v>51</v>
      </c>
      <c r="D365" s="801" t="s">
        <v>31</v>
      </c>
      <c r="E365" s="783">
        <f t="shared" si="505"/>
        <v>1149756.0459</v>
      </c>
      <c r="F365" s="783"/>
      <c r="G365" s="783">
        <f t="shared" si="506"/>
        <v>12289.984499999999</v>
      </c>
      <c r="H365" s="783">
        <f t="shared" si="506"/>
        <v>10380.399999999998</v>
      </c>
      <c r="I365" s="783">
        <f t="shared" si="506"/>
        <v>7330.3994678571435</v>
      </c>
      <c r="J365" s="783">
        <f t="shared" si="506"/>
        <v>14838.162066000001</v>
      </c>
      <c r="K365" s="776">
        <f t="shared" si="499"/>
        <v>1194594.9919338571</v>
      </c>
      <c r="L365" s="776">
        <f t="shared" si="500"/>
        <v>179189.24879007856</v>
      </c>
      <c r="M365" s="776">
        <f t="shared" si="501"/>
        <v>1373784.2407239357</v>
      </c>
      <c r="N365" s="776">
        <f t="shared" si="502"/>
        <v>1187264.592466</v>
      </c>
      <c r="O365" s="776">
        <f t="shared" si="503"/>
        <v>178089.68886989998</v>
      </c>
      <c r="P365" s="776">
        <f t="shared" si="504"/>
        <v>1365354.2813359001</v>
      </c>
      <c r="Q365" s="783">
        <f t="shared" si="507"/>
        <v>35573.415307692303</v>
      </c>
    </row>
    <row r="366" spans="1:17" s="769" customFormat="1" ht="14">
      <c r="A366" s="771">
        <v>15</v>
      </c>
      <c r="B366" s="808" t="s">
        <v>262</v>
      </c>
      <c r="C366" s="804" t="s">
        <v>51</v>
      </c>
      <c r="D366" s="801" t="s">
        <v>31</v>
      </c>
      <c r="E366" s="783"/>
      <c r="F366" s="783"/>
      <c r="G366" s="783"/>
      <c r="H366" s="783"/>
      <c r="I366" s="783"/>
      <c r="J366" s="783"/>
      <c r="K366" s="776"/>
      <c r="L366" s="776"/>
      <c r="M366" s="776"/>
      <c r="N366" s="776"/>
      <c r="O366" s="776"/>
      <c r="P366" s="776"/>
      <c r="Q366" s="783"/>
    </row>
    <row r="367" spans="1:17" s="769" customFormat="1">
      <c r="A367" s="771">
        <v>15.1</v>
      </c>
      <c r="B367" s="808" t="s">
        <v>771</v>
      </c>
      <c r="C367" s="804" t="s">
        <v>51</v>
      </c>
      <c r="D367" s="801" t="s">
        <v>31</v>
      </c>
      <c r="E367" s="783">
        <f>NCong!M525</f>
        <v>743473.21289999981</v>
      </c>
      <c r="F367" s="783"/>
      <c r="G367" s="783">
        <f t="shared" ref="G367:J369" si="508">G232</f>
        <v>15756.390384615384</v>
      </c>
      <c r="H367" s="783">
        <f t="shared" si="508"/>
        <v>31754</v>
      </c>
      <c r="I367" s="783">
        <f t="shared" si="508"/>
        <v>9397.9480357142857</v>
      </c>
      <c r="J367" s="783">
        <f t="shared" si="508"/>
        <v>19023.2847</v>
      </c>
      <c r="K367" s="776">
        <f t="shared" ref="K367:K369" si="509">SUM(E367:J367)</f>
        <v>819404.8360203295</v>
      </c>
      <c r="L367" s="776">
        <f t="shared" ref="L367:L369" si="510">K367*15%</f>
        <v>122910.72540304942</v>
      </c>
      <c r="M367" s="776">
        <f t="shared" ref="M367:M369" si="511">K367+L367</f>
        <v>942315.56142337888</v>
      </c>
      <c r="N367" s="776">
        <f t="shared" ref="N367:N369" si="512">K367-I367</f>
        <v>810006.88798461517</v>
      </c>
      <c r="O367" s="776">
        <f t="shared" ref="O367:O369" si="513">$L$6*N367</f>
        <v>121501.03319769228</v>
      </c>
      <c r="P367" s="776">
        <f t="shared" ref="P367:P369" si="514">N367+O367</f>
        <v>931507.92118230741</v>
      </c>
      <c r="Q367" s="783">
        <f>NCong!P525</f>
        <v>22978.004923076922</v>
      </c>
    </row>
    <row r="368" spans="1:17" s="769" customFormat="1">
      <c r="A368" s="809" t="s">
        <v>767</v>
      </c>
      <c r="B368" s="810" t="s">
        <v>768</v>
      </c>
      <c r="C368" s="804" t="s">
        <v>51</v>
      </c>
      <c r="D368" s="801" t="s">
        <v>31</v>
      </c>
      <c r="E368" s="783">
        <f>NCong!N525</f>
        <v>921097.3909499998</v>
      </c>
      <c r="F368" s="783"/>
      <c r="G368" s="783">
        <f t="shared" si="508"/>
        <v>15756.390384615384</v>
      </c>
      <c r="H368" s="783">
        <f t="shared" si="508"/>
        <v>31754</v>
      </c>
      <c r="I368" s="783">
        <f t="shared" si="508"/>
        <v>9397.9480357142857</v>
      </c>
      <c r="J368" s="783">
        <f t="shared" si="508"/>
        <v>19023.2847</v>
      </c>
      <c r="K368" s="776">
        <f t="shared" si="509"/>
        <v>997029.01407032949</v>
      </c>
      <c r="L368" s="776">
        <f t="shared" si="510"/>
        <v>149554.35211054943</v>
      </c>
      <c r="M368" s="776">
        <f t="shared" si="511"/>
        <v>1146583.3661808788</v>
      </c>
      <c r="N368" s="776">
        <f t="shared" si="512"/>
        <v>987631.06603461516</v>
      </c>
      <c r="O368" s="776">
        <f t="shared" si="513"/>
        <v>148144.65990519227</v>
      </c>
      <c r="P368" s="776">
        <f t="shared" si="514"/>
        <v>1135775.7259398075</v>
      </c>
      <c r="Q368" s="783">
        <f>NCong!Q525</f>
        <v>28571.659769230766</v>
      </c>
    </row>
    <row r="369" spans="1:17" s="769" customFormat="1">
      <c r="A369" s="809" t="s">
        <v>767</v>
      </c>
      <c r="B369" s="810" t="s">
        <v>769</v>
      </c>
      <c r="C369" s="804" t="s">
        <v>51</v>
      </c>
      <c r="D369" s="801" t="s">
        <v>31</v>
      </c>
      <c r="E369" s="783">
        <f>NCong!O525</f>
        <v>1149756.0459</v>
      </c>
      <c r="F369" s="783"/>
      <c r="G369" s="783">
        <f t="shared" si="508"/>
        <v>20483.307499999999</v>
      </c>
      <c r="H369" s="783">
        <f t="shared" si="508"/>
        <v>31754</v>
      </c>
      <c r="I369" s="783">
        <f t="shared" si="508"/>
        <v>12217.332446428572</v>
      </c>
      <c r="J369" s="783">
        <f t="shared" si="508"/>
        <v>24730.270110000001</v>
      </c>
      <c r="K369" s="776">
        <f t="shared" si="509"/>
        <v>1238940.9559564285</v>
      </c>
      <c r="L369" s="776">
        <f t="shared" si="510"/>
        <v>185841.14339346427</v>
      </c>
      <c r="M369" s="776">
        <f t="shared" si="511"/>
        <v>1424782.0993498927</v>
      </c>
      <c r="N369" s="776">
        <f t="shared" si="512"/>
        <v>1226723.6235100001</v>
      </c>
      <c r="O369" s="776">
        <f t="shared" si="513"/>
        <v>184008.5435265</v>
      </c>
      <c r="P369" s="776">
        <f t="shared" si="514"/>
        <v>1410732.1670365001</v>
      </c>
      <c r="Q369" s="783">
        <f>NCong!R525</f>
        <v>35573.415307692303</v>
      </c>
    </row>
    <row r="370" spans="1:17" s="769" customFormat="1">
      <c r="A370" s="809" t="s">
        <v>767</v>
      </c>
      <c r="B370" s="810" t="s">
        <v>770</v>
      </c>
      <c r="C370" s="804" t="s">
        <v>51</v>
      </c>
      <c r="D370" s="801" t="s">
        <v>31</v>
      </c>
      <c r="E370" s="783"/>
      <c r="F370" s="783"/>
      <c r="G370" s="783"/>
      <c r="H370" s="783"/>
      <c r="I370" s="783"/>
      <c r="J370" s="783"/>
      <c r="K370" s="776"/>
      <c r="L370" s="776"/>
      <c r="M370" s="776"/>
      <c r="N370" s="776"/>
      <c r="O370" s="776"/>
      <c r="P370" s="776"/>
      <c r="Q370" s="783"/>
    </row>
    <row r="371" spans="1:17" s="769" customFormat="1">
      <c r="A371" s="771">
        <v>15.2</v>
      </c>
      <c r="B371" s="808" t="s">
        <v>772</v>
      </c>
      <c r="C371" s="804" t="s">
        <v>51</v>
      </c>
      <c r="D371" s="801" t="s">
        <v>31</v>
      </c>
      <c r="E371" s="783"/>
      <c r="F371" s="783"/>
      <c r="G371" s="783"/>
      <c r="H371" s="783"/>
      <c r="I371" s="783"/>
      <c r="J371" s="783"/>
      <c r="K371" s="776"/>
      <c r="L371" s="776"/>
      <c r="M371" s="776"/>
      <c r="N371" s="776"/>
      <c r="O371" s="776"/>
      <c r="P371" s="776"/>
      <c r="Q371" s="783"/>
    </row>
    <row r="372" spans="1:17" s="769" customFormat="1">
      <c r="A372" s="809" t="s">
        <v>767</v>
      </c>
      <c r="B372" s="810" t="s">
        <v>768</v>
      </c>
      <c r="C372" s="804" t="s">
        <v>51</v>
      </c>
      <c r="D372" s="801" t="s">
        <v>31</v>
      </c>
      <c r="E372" s="783">
        <f>E367</f>
        <v>743473.21289999981</v>
      </c>
      <c r="F372" s="783"/>
      <c r="G372" s="783">
        <f>G363</f>
        <v>9453.834230769231</v>
      </c>
      <c r="H372" s="783">
        <f t="shared" ref="H372:J372" si="515">H363</f>
        <v>10380.399999999998</v>
      </c>
      <c r="I372" s="783">
        <f t="shared" si="515"/>
        <v>5638.7688214285708</v>
      </c>
      <c r="J372" s="783">
        <f t="shared" si="515"/>
        <v>11413.97082</v>
      </c>
      <c r="K372" s="776">
        <f t="shared" ref="K372:K374" si="516">SUM(E372:J372)</f>
        <v>780360.1867721976</v>
      </c>
      <c r="L372" s="776">
        <f t="shared" ref="L372:L374" si="517">K372*15%</f>
        <v>117054.02801582964</v>
      </c>
      <c r="M372" s="776">
        <f t="shared" ref="M372:M374" si="518">K372+L372</f>
        <v>897414.21478802722</v>
      </c>
      <c r="N372" s="776">
        <f t="shared" ref="N372:N374" si="519">K372-I372</f>
        <v>774721.41795076907</v>
      </c>
      <c r="O372" s="776">
        <f t="shared" ref="O372:O374" si="520">$L$6*N372</f>
        <v>116208.21269261536</v>
      </c>
      <c r="P372" s="776">
        <f t="shared" ref="P372:P374" si="521">N372+O372</f>
        <v>890929.63064338441</v>
      </c>
      <c r="Q372" s="783">
        <f>Q367</f>
        <v>22978.004923076922</v>
      </c>
    </row>
    <row r="373" spans="1:17" s="769" customFormat="1">
      <c r="A373" s="809" t="s">
        <v>767</v>
      </c>
      <c r="B373" s="810" t="s">
        <v>769</v>
      </c>
      <c r="C373" s="804" t="s">
        <v>51</v>
      </c>
      <c r="D373" s="801" t="s">
        <v>31</v>
      </c>
      <c r="E373" s="783">
        <f t="shared" ref="E373:E374" si="522">E368</f>
        <v>921097.3909499998</v>
      </c>
      <c r="F373" s="783"/>
      <c r="G373" s="783">
        <f t="shared" ref="G373:J374" si="523">G364</f>
        <v>9453.834230769231</v>
      </c>
      <c r="H373" s="783">
        <f t="shared" si="523"/>
        <v>10380.399999999998</v>
      </c>
      <c r="I373" s="783">
        <f t="shared" si="523"/>
        <v>5638.7688214285708</v>
      </c>
      <c r="J373" s="783">
        <f t="shared" si="523"/>
        <v>11413.97082</v>
      </c>
      <c r="K373" s="776">
        <f t="shared" si="516"/>
        <v>957984.36482219759</v>
      </c>
      <c r="L373" s="776">
        <f t="shared" si="517"/>
        <v>143697.65472332964</v>
      </c>
      <c r="M373" s="776">
        <f t="shared" si="518"/>
        <v>1101682.0195455272</v>
      </c>
      <c r="N373" s="776">
        <f t="shared" si="519"/>
        <v>952345.59600076906</v>
      </c>
      <c r="O373" s="776">
        <f t="shared" si="520"/>
        <v>142851.83940011536</v>
      </c>
      <c r="P373" s="776">
        <f t="shared" si="521"/>
        <v>1095197.4354008844</v>
      </c>
      <c r="Q373" s="783">
        <f t="shared" ref="Q373:Q374" si="524">Q368</f>
        <v>28571.659769230766</v>
      </c>
    </row>
    <row r="374" spans="1:17" s="769" customFormat="1">
      <c r="A374" s="809" t="s">
        <v>767</v>
      </c>
      <c r="B374" s="810" t="s">
        <v>770</v>
      </c>
      <c r="C374" s="804" t="s">
        <v>51</v>
      </c>
      <c r="D374" s="801" t="s">
        <v>31</v>
      </c>
      <c r="E374" s="783">
        <f t="shared" si="522"/>
        <v>1149756.0459</v>
      </c>
      <c r="F374" s="783"/>
      <c r="G374" s="783">
        <f t="shared" si="523"/>
        <v>12289.984499999999</v>
      </c>
      <c r="H374" s="783">
        <f t="shared" si="523"/>
        <v>10380.399999999998</v>
      </c>
      <c r="I374" s="783">
        <f t="shared" si="523"/>
        <v>7330.3994678571435</v>
      </c>
      <c r="J374" s="783">
        <f t="shared" si="523"/>
        <v>14838.162066000001</v>
      </c>
      <c r="K374" s="776">
        <f t="shared" si="516"/>
        <v>1194594.9919338571</v>
      </c>
      <c r="L374" s="776">
        <f t="shared" si="517"/>
        <v>179189.24879007856</v>
      </c>
      <c r="M374" s="776">
        <f t="shared" si="518"/>
        <v>1373784.2407239357</v>
      </c>
      <c r="N374" s="776">
        <f t="shared" si="519"/>
        <v>1187264.592466</v>
      </c>
      <c r="O374" s="776">
        <f t="shared" si="520"/>
        <v>178089.68886989998</v>
      </c>
      <c r="P374" s="776">
        <f t="shared" si="521"/>
        <v>1365354.2813359001</v>
      </c>
      <c r="Q374" s="783">
        <f t="shared" si="524"/>
        <v>35573.415307692303</v>
      </c>
    </row>
    <row r="375" spans="1:17" s="769" customFormat="1" ht="14">
      <c r="A375" s="771">
        <v>16</v>
      </c>
      <c r="B375" s="808" t="s">
        <v>263</v>
      </c>
      <c r="C375" s="804" t="s">
        <v>51</v>
      </c>
      <c r="D375" s="801" t="s">
        <v>31</v>
      </c>
      <c r="E375" s="783"/>
      <c r="F375" s="783"/>
      <c r="G375" s="783"/>
      <c r="H375" s="783"/>
      <c r="I375" s="783"/>
      <c r="J375" s="783"/>
      <c r="K375" s="776"/>
      <c r="L375" s="776"/>
      <c r="M375" s="776"/>
      <c r="N375" s="776"/>
      <c r="O375" s="776"/>
      <c r="P375" s="776"/>
      <c r="Q375" s="783"/>
    </row>
    <row r="376" spans="1:17" s="769" customFormat="1">
      <c r="A376" s="771">
        <v>16.100000000000001</v>
      </c>
      <c r="B376" s="808" t="s">
        <v>771</v>
      </c>
      <c r="C376" s="804" t="s">
        <v>51</v>
      </c>
      <c r="D376" s="801" t="s">
        <v>31</v>
      </c>
      <c r="E376" s="783"/>
      <c r="F376" s="783"/>
      <c r="G376" s="783"/>
      <c r="H376" s="783"/>
      <c r="I376" s="783"/>
      <c r="J376" s="783"/>
      <c r="K376" s="776"/>
      <c r="L376" s="776"/>
      <c r="M376" s="776"/>
      <c r="N376" s="776"/>
      <c r="O376" s="776"/>
      <c r="P376" s="776"/>
      <c r="Q376" s="783"/>
    </row>
    <row r="377" spans="1:17" s="769" customFormat="1">
      <c r="A377" s="809" t="s">
        <v>767</v>
      </c>
      <c r="B377" s="810" t="s">
        <v>768</v>
      </c>
      <c r="C377" s="804" t="s">
        <v>51</v>
      </c>
      <c r="D377" s="801" t="s">
        <v>31</v>
      </c>
      <c r="E377" s="783">
        <f>NCong!M526</f>
        <v>743473.21289999981</v>
      </c>
      <c r="F377" s="783"/>
      <c r="G377" s="783">
        <f t="shared" ref="G377:J379" si="525">G232</f>
        <v>15756.390384615384</v>
      </c>
      <c r="H377" s="783">
        <f t="shared" si="525"/>
        <v>31754</v>
      </c>
      <c r="I377" s="783">
        <f t="shared" si="525"/>
        <v>9397.9480357142857</v>
      </c>
      <c r="J377" s="783">
        <f t="shared" si="525"/>
        <v>19023.2847</v>
      </c>
      <c r="K377" s="776">
        <f t="shared" ref="K377:K379" si="526">SUM(E377:J377)</f>
        <v>819404.8360203295</v>
      </c>
      <c r="L377" s="776">
        <f t="shared" ref="L377:L379" si="527">K377*15%</f>
        <v>122910.72540304942</v>
      </c>
      <c r="M377" s="776">
        <f t="shared" ref="M377:M379" si="528">K377+L377</f>
        <v>942315.56142337888</v>
      </c>
      <c r="N377" s="776">
        <f t="shared" ref="N377:N379" si="529">K377-I377</f>
        <v>810006.88798461517</v>
      </c>
      <c r="O377" s="776">
        <f t="shared" ref="O377:O379" si="530">$L$6*N377</f>
        <v>121501.03319769228</v>
      </c>
      <c r="P377" s="776">
        <f t="shared" ref="P377:P379" si="531">N377+O377</f>
        <v>931507.92118230741</v>
      </c>
      <c r="Q377" s="783">
        <f>NCong!P526</f>
        <v>22978.004923076922</v>
      </c>
    </row>
    <row r="378" spans="1:17" s="769" customFormat="1">
      <c r="A378" s="809" t="s">
        <v>767</v>
      </c>
      <c r="B378" s="810" t="s">
        <v>769</v>
      </c>
      <c r="C378" s="804" t="s">
        <v>51</v>
      </c>
      <c r="D378" s="801" t="s">
        <v>31</v>
      </c>
      <c r="E378" s="783">
        <f>NCong!N526</f>
        <v>921097.3909499998</v>
      </c>
      <c r="F378" s="783"/>
      <c r="G378" s="783">
        <f t="shared" si="525"/>
        <v>15756.390384615384</v>
      </c>
      <c r="H378" s="783">
        <f t="shared" si="525"/>
        <v>31754</v>
      </c>
      <c r="I378" s="783">
        <f t="shared" si="525"/>
        <v>9397.9480357142857</v>
      </c>
      <c r="J378" s="783">
        <f t="shared" si="525"/>
        <v>19023.2847</v>
      </c>
      <c r="K378" s="776">
        <f t="shared" si="526"/>
        <v>997029.01407032949</v>
      </c>
      <c r="L378" s="776">
        <f t="shared" si="527"/>
        <v>149554.35211054943</v>
      </c>
      <c r="M378" s="776">
        <f t="shared" si="528"/>
        <v>1146583.3661808788</v>
      </c>
      <c r="N378" s="776">
        <f t="shared" si="529"/>
        <v>987631.06603461516</v>
      </c>
      <c r="O378" s="776">
        <f t="shared" si="530"/>
        <v>148144.65990519227</v>
      </c>
      <c r="P378" s="776">
        <f t="shared" si="531"/>
        <v>1135775.7259398075</v>
      </c>
      <c r="Q378" s="783">
        <f>NCong!Q526</f>
        <v>28571.659769230766</v>
      </c>
    </row>
    <row r="379" spans="1:17" s="769" customFormat="1">
      <c r="A379" s="809" t="s">
        <v>767</v>
      </c>
      <c r="B379" s="810" t="s">
        <v>770</v>
      </c>
      <c r="C379" s="804" t="s">
        <v>51</v>
      </c>
      <c r="D379" s="801" t="s">
        <v>31</v>
      </c>
      <c r="E379" s="783">
        <f>NCong!O526</f>
        <v>1149756.0459</v>
      </c>
      <c r="F379" s="783"/>
      <c r="G379" s="783">
        <f t="shared" si="525"/>
        <v>20483.307499999999</v>
      </c>
      <c r="H379" s="783">
        <f t="shared" si="525"/>
        <v>31754</v>
      </c>
      <c r="I379" s="783">
        <f t="shared" si="525"/>
        <v>12217.332446428572</v>
      </c>
      <c r="J379" s="783">
        <f t="shared" si="525"/>
        <v>24730.270110000001</v>
      </c>
      <c r="K379" s="776">
        <f t="shared" si="526"/>
        <v>1238940.9559564285</v>
      </c>
      <c r="L379" s="776">
        <f t="shared" si="527"/>
        <v>185841.14339346427</v>
      </c>
      <c r="M379" s="776">
        <f t="shared" si="528"/>
        <v>1424782.0993498927</v>
      </c>
      <c r="N379" s="776">
        <f t="shared" si="529"/>
        <v>1226723.6235100001</v>
      </c>
      <c r="O379" s="776">
        <f t="shared" si="530"/>
        <v>184008.5435265</v>
      </c>
      <c r="P379" s="776">
        <f t="shared" si="531"/>
        <v>1410732.1670365001</v>
      </c>
      <c r="Q379" s="783">
        <f>NCong!R526</f>
        <v>35573.415307692303</v>
      </c>
    </row>
    <row r="380" spans="1:17" s="769" customFormat="1">
      <c r="A380" s="771">
        <v>16.2</v>
      </c>
      <c r="B380" s="808" t="s">
        <v>772</v>
      </c>
      <c r="C380" s="804" t="s">
        <v>51</v>
      </c>
      <c r="D380" s="801" t="s">
        <v>31</v>
      </c>
      <c r="E380" s="783"/>
      <c r="F380" s="783"/>
      <c r="G380" s="783"/>
      <c r="H380" s="783"/>
      <c r="I380" s="783"/>
      <c r="J380" s="783"/>
      <c r="K380" s="776"/>
      <c r="L380" s="776"/>
      <c r="M380" s="776"/>
      <c r="N380" s="776"/>
      <c r="O380" s="776"/>
      <c r="P380" s="776"/>
      <c r="Q380" s="783"/>
    </row>
    <row r="381" spans="1:17" s="769" customFormat="1">
      <c r="A381" s="809" t="s">
        <v>767</v>
      </c>
      <c r="B381" s="810" t="s">
        <v>768</v>
      </c>
      <c r="C381" s="804" t="s">
        <v>51</v>
      </c>
      <c r="D381" s="801" t="s">
        <v>31</v>
      </c>
      <c r="E381" s="783">
        <f>E377</f>
        <v>743473.21289999981</v>
      </c>
      <c r="F381" s="783"/>
      <c r="G381" s="783">
        <f>G372</f>
        <v>9453.834230769231</v>
      </c>
      <c r="H381" s="783">
        <f t="shared" ref="H381:J381" si="532">H372</f>
        <v>10380.399999999998</v>
      </c>
      <c r="I381" s="783">
        <f t="shared" si="532"/>
        <v>5638.7688214285708</v>
      </c>
      <c r="J381" s="783">
        <f t="shared" si="532"/>
        <v>11413.97082</v>
      </c>
      <c r="K381" s="776">
        <f t="shared" ref="K381:K383" si="533">SUM(E381:J381)</f>
        <v>780360.1867721976</v>
      </c>
      <c r="L381" s="776">
        <f t="shared" ref="L381:L383" si="534">K381*15%</f>
        <v>117054.02801582964</v>
      </c>
      <c r="M381" s="776">
        <f t="shared" ref="M381:M383" si="535">K381+L381</f>
        <v>897414.21478802722</v>
      </c>
      <c r="N381" s="776">
        <f t="shared" ref="N381:N383" si="536">K381-I381</f>
        <v>774721.41795076907</v>
      </c>
      <c r="O381" s="776">
        <f t="shared" ref="O381:O383" si="537">$L$6*N381</f>
        <v>116208.21269261536</v>
      </c>
      <c r="P381" s="776">
        <f t="shared" ref="P381:P383" si="538">N381+O381</f>
        <v>890929.63064338441</v>
      </c>
      <c r="Q381" s="783">
        <f>Q377</f>
        <v>22978.004923076922</v>
      </c>
    </row>
    <row r="382" spans="1:17" s="769" customFormat="1">
      <c r="A382" s="809" t="s">
        <v>767</v>
      </c>
      <c r="B382" s="810" t="s">
        <v>769</v>
      </c>
      <c r="C382" s="804" t="s">
        <v>51</v>
      </c>
      <c r="D382" s="801" t="s">
        <v>31</v>
      </c>
      <c r="E382" s="783">
        <f t="shared" ref="E382:E383" si="539">E378</f>
        <v>921097.3909499998</v>
      </c>
      <c r="F382" s="783"/>
      <c r="G382" s="783">
        <f t="shared" ref="G382:J383" si="540">G373</f>
        <v>9453.834230769231</v>
      </c>
      <c r="H382" s="783">
        <f t="shared" si="540"/>
        <v>10380.399999999998</v>
      </c>
      <c r="I382" s="783">
        <f t="shared" si="540"/>
        <v>5638.7688214285708</v>
      </c>
      <c r="J382" s="783">
        <f t="shared" si="540"/>
        <v>11413.97082</v>
      </c>
      <c r="K382" s="776">
        <f t="shared" si="533"/>
        <v>957984.36482219759</v>
      </c>
      <c r="L382" s="776">
        <f t="shared" si="534"/>
        <v>143697.65472332964</v>
      </c>
      <c r="M382" s="776">
        <f t="shared" si="535"/>
        <v>1101682.0195455272</v>
      </c>
      <c r="N382" s="776">
        <f t="shared" si="536"/>
        <v>952345.59600076906</v>
      </c>
      <c r="O382" s="776">
        <f t="shared" si="537"/>
        <v>142851.83940011536</v>
      </c>
      <c r="P382" s="776">
        <f t="shared" si="538"/>
        <v>1095197.4354008844</v>
      </c>
      <c r="Q382" s="783">
        <f t="shared" ref="Q382:Q383" si="541">Q378</f>
        <v>28571.659769230766</v>
      </c>
    </row>
    <row r="383" spans="1:17" s="769" customFormat="1">
      <c r="A383" s="809" t="s">
        <v>767</v>
      </c>
      <c r="B383" s="810" t="s">
        <v>770</v>
      </c>
      <c r="C383" s="804" t="s">
        <v>51</v>
      </c>
      <c r="D383" s="801" t="s">
        <v>31</v>
      </c>
      <c r="E383" s="783">
        <f t="shared" si="539"/>
        <v>1149756.0459</v>
      </c>
      <c r="F383" s="783"/>
      <c r="G383" s="783">
        <f t="shared" si="540"/>
        <v>12289.984499999999</v>
      </c>
      <c r="H383" s="783">
        <f t="shared" si="540"/>
        <v>10380.399999999998</v>
      </c>
      <c r="I383" s="783">
        <f t="shared" si="540"/>
        <v>7330.3994678571435</v>
      </c>
      <c r="J383" s="783">
        <f t="shared" si="540"/>
        <v>14838.162066000001</v>
      </c>
      <c r="K383" s="776">
        <f t="shared" si="533"/>
        <v>1194594.9919338571</v>
      </c>
      <c r="L383" s="776">
        <f t="shared" si="534"/>
        <v>179189.24879007856</v>
      </c>
      <c r="M383" s="776">
        <f t="shared" si="535"/>
        <v>1373784.2407239357</v>
      </c>
      <c r="N383" s="776">
        <f t="shared" si="536"/>
        <v>1187264.592466</v>
      </c>
      <c r="O383" s="776">
        <f t="shared" si="537"/>
        <v>178089.68886989998</v>
      </c>
      <c r="P383" s="776">
        <f t="shared" si="538"/>
        <v>1365354.2813359001</v>
      </c>
      <c r="Q383" s="783">
        <f t="shared" si="541"/>
        <v>35573.415307692303</v>
      </c>
    </row>
    <row r="384" spans="1:17" s="769" customFormat="1">
      <c r="A384" s="771">
        <v>17</v>
      </c>
      <c r="B384" s="808" t="s">
        <v>265</v>
      </c>
      <c r="C384" s="804" t="s">
        <v>51</v>
      </c>
      <c r="D384" s="801" t="s">
        <v>31</v>
      </c>
      <c r="E384" s="783"/>
      <c r="F384" s="783"/>
      <c r="G384" s="783"/>
      <c r="H384" s="783"/>
      <c r="I384" s="783"/>
      <c r="J384" s="783"/>
      <c r="K384" s="776"/>
      <c r="L384" s="776"/>
      <c r="M384" s="776"/>
      <c r="N384" s="776"/>
      <c r="O384" s="776"/>
      <c r="P384" s="776"/>
      <c r="Q384" s="783"/>
    </row>
    <row r="385" spans="1:17" s="769" customFormat="1">
      <c r="A385" s="771">
        <v>17.100000000000001</v>
      </c>
      <c r="B385" s="808" t="s">
        <v>771</v>
      </c>
      <c r="C385" s="804" t="s">
        <v>51</v>
      </c>
      <c r="D385" s="801" t="s">
        <v>31</v>
      </c>
      <c r="E385" s="783"/>
      <c r="F385" s="783"/>
      <c r="G385" s="783"/>
      <c r="H385" s="783"/>
      <c r="I385" s="783"/>
      <c r="J385" s="783"/>
      <c r="K385" s="776"/>
      <c r="L385" s="776"/>
      <c r="M385" s="776"/>
      <c r="N385" s="776"/>
      <c r="O385" s="776"/>
      <c r="P385" s="776"/>
      <c r="Q385" s="783"/>
    </row>
    <row r="386" spans="1:17" s="769" customFormat="1">
      <c r="A386" s="809" t="s">
        <v>767</v>
      </c>
      <c r="B386" s="810" t="s">
        <v>768</v>
      </c>
      <c r="C386" s="804" t="s">
        <v>51</v>
      </c>
      <c r="D386" s="801" t="s">
        <v>31</v>
      </c>
      <c r="E386" s="783">
        <f>NCong!M527</f>
        <v>743473.21289999981</v>
      </c>
      <c r="F386" s="783"/>
      <c r="G386" s="783">
        <f>G377</f>
        <v>15756.390384615384</v>
      </c>
      <c r="H386" s="783">
        <f t="shared" ref="H386:J386" si="542">H377</f>
        <v>31754</v>
      </c>
      <c r="I386" s="783">
        <f t="shared" si="542"/>
        <v>9397.9480357142857</v>
      </c>
      <c r="J386" s="783">
        <f t="shared" si="542"/>
        <v>19023.2847</v>
      </c>
      <c r="K386" s="776">
        <f t="shared" ref="K386:K388" si="543">SUM(E386:J386)</f>
        <v>819404.8360203295</v>
      </c>
      <c r="L386" s="776">
        <f t="shared" ref="L386:L388" si="544">K386*15%</f>
        <v>122910.72540304942</v>
      </c>
      <c r="M386" s="776">
        <f t="shared" ref="M386:M388" si="545">K386+L386</f>
        <v>942315.56142337888</v>
      </c>
      <c r="N386" s="776">
        <f t="shared" ref="N386:N388" si="546">K386-I386</f>
        <v>810006.88798461517</v>
      </c>
      <c r="O386" s="776">
        <f t="shared" ref="O386:O388" si="547">$L$6*N386</f>
        <v>121501.03319769228</v>
      </c>
      <c r="P386" s="776">
        <f t="shared" ref="P386:P388" si="548">N386+O386</f>
        <v>931507.92118230741</v>
      </c>
      <c r="Q386" s="783">
        <f>NCong!P527</f>
        <v>22978.004923076922</v>
      </c>
    </row>
    <row r="387" spans="1:17" s="769" customFormat="1">
      <c r="A387" s="809" t="s">
        <v>767</v>
      </c>
      <c r="B387" s="810" t="s">
        <v>769</v>
      </c>
      <c r="C387" s="804" t="s">
        <v>51</v>
      </c>
      <c r="D387" s="801" t="s">
        <v>31</v>
      </c>
      <c r="E387" s="783">
        <f>NCong!N527</f>
        <v>921097.3909499998</v>
      </c>
      <c r="F387" s="783"/>
      <c r="G387" s="783">
        <f t="shared" ref="G387:J388" si="549">G378</f>
        <v>15756.390384615384</v>
      </c>
      <c r="H387" s="783">
        <f t="shared" si="549"/>
        <v>31754</v>
      </c>
      <c r="I387" s="783">
        <f t="shared" si="549"/>
        <v>9397.9480357142857</v>
      </c>
      <c r="J387" s="783">
        <f t="shared" si="549"/>
        <v>19023.2847</v>
      </c>
      <c r="K387" s="776">
        <f t="shared" si="543"/>
        <v>997029.01407032949</v>
      </c>
      <c r="L387" s="776">
        <f t="shared" si="544"/>
        <v>149554.35211054943</v>
      </c>
      <c r="M387" s="776">
        <f t="shared" si="545"/>
        <v>1146583.3661808788</v>
      </c>
      <c r="N387" s="776">
        <f t="shared" si="546"/>
        <v>987631.06603461516</v>
      </c>
      <c r="O387" s="776">
        <f t="shared" si="547"/>
        <v>148144.65990519227</v>
      </c>
      <c r="P387" s="776">
        <f t="shared" si="548"/>
        <v>1135775.7259398075</v>
      </c>
      <c r="Q387" s="783">
        <f>NCong!Q527</f>
        <v>28571.659769230766</v>
      </c>
    </row>
    <row r="388" spans="1:17" s="769" customFormat="1">
      <c r="A388" s="809" t="s">
        <v>767</v>
      </c>
      <c r="B388" s="810" t="s">
        <v>770</v>
      </c>
      <c r="C388" s="804" t="s">
        <v>51</v>
      </c>
      <c r="D388" s="801" t="s">
        <v>31</v>
      </c>
      <c r="E388" s="783">
        <f>NCong!O527</f>
        <v>1149756.0459</v>
      </c>
      <c r="F388" s="783"/>
      <c r="G388" s="783">
        <f t="shared" si="549"/>
        <v>20483.307499999999</v>
      </c>
      <c r="H388" s="783">
        <f t="shared" si="549"/>
        <v>31754</v>
      </c>
      <c r="I388" s="783">
        <f t="shared" si="549"/>
        <v>12217.332446428572</v>
      </c>
      <c r="J388" s="783">
        <f t="shared" si="549"/>
        <v>24730.270110000001</v>
      </c>
      <c r="K388" s="776">
        <f t="shared" si="543"/>
        <v>1238940.9559564285</v>
      </c>
      <c r="L388" s="776">
        <f t="shared" si="544"/>
        <v>185841.14339346427</v>
      </c>
      <c r="M388" s="776">
        <f t="shared" si="545"/>
        <v>1424782.0993498927</v>
      </c>
      <c r="N388" s="776">
        <f t="shared" si="546"/>
        <v>1226723.6235100001</v>
      </c>
      <c r="O388" s="776">
        <f t="shared" si="547"/>
        <v>184008.5435265</v>
      </c>
      <c r="P388" s="776">
        <f t="shared" si="548"/>
        <v>1410732.1670365001</v>
      </c>
      <c r="Q388" s="783">
        <f>NCong!R527</f>
        <v>35573.415307692303</v>
      </c>
    </row>
    <row r="389" spans="1:17" s="769" customFormat="1">
      <c r="A389" s="771">
        <v>17.2</v>
      </c>
      <c r="B389" s="808" t="s">
        <v>772</v>
      </c>
      <c r="C389" s="804" t="s">
        <v>51</v>
      </c>
      <c r="D389" s="801" t="s">
        <v>31</v>
      </c>
      <c r="E389" s="783"/>
      <c r="F389" s="783"/>
      <c r="G389" s="783"/>
      <c r="H389" s="783"/>
      <c r="I389" s="783"/>
      <c r="J389" s="783"/>
      <c r="K389" s="776"/>
      <c r="L389" s="776"/>
      <c r="M389" s="776"/>
      <c r="N389" s="776"/>
      <c r="O389" s="776"/>
      <c r="P389" s="776"/>
      <c r="Q389" s="783"/>
    </row>
    <row r="390" spans="1:17" s="769" customFormat="1">
      <c r="A390" s="809" t="s">
        <v>767</v>
      </c>
      <c r="B390" s="810" t="s">
        <v>768</v>
      </c>
      <c r="C390" s="804" t="s">
        <v>51</v>
      </c>
      <c r="D390" s="801" t="s">
        <v>31</v>
      </c>
      <c r="E390" s="783">
        <f>E386</f>
        <v>743473.21289999981</v>
      </c>
      <c r="F390" s="783"/>
      <c r="G390" s="783">
        <f>G381</f>
        <v>9453.834230769231</v>
      </c>
      <c r="H390" s="783">
        <f t="shared" ref="H390:J390" si="550">H381</f>
        <v>10380.399999999998</v>
      </c>
      <c r="I390" s="783">
        <f t="shared" si="550"/>
        <v>5638.7688214285708</v>
      </c>
      <c r="J390" s="783">
        <f t="shared" si="550"/>
        <v>11413.97082</v>
      </c>
      <c r="K390" s="776">
        <f t="shared" ref="K390:K392" si="551">SUM(E390:J390)</f>
        <v>780360.1867721976</v>
      </c>
      <c r="L390" s="776">
        <f t="shared" ref="L390:L392" si="552">K390*15%</f>
        <v>117054.02801582964</v>
      </c>
      <c r="M390" s="776">
        <f t="shared" ref="M390:M392" si="553">K390+L390</f>
        <v>897414.21478802722</v>
      </c>
      <c r="N390" s="776">
        <f t="shared" ref="N390:N392" si="554">K390-I390</f>
        <v>774721.41795076907</v>
      </c>
      <c r="O390" s="776">
        <f t="shared" ref="O390:O392" si="555">$L$6*N390</f>
        <v>116208.21269261536</v>
      </c>
      <c r="P390" s="776">
        <f t="shared" ref="P390:P392" si="556">N390+O390</f>
        <v>890929.63064338441</v>
      </c>
      <c r="Q390" s="783">
        <f>Q386</f>
        <v>22978.004923076922</v>
      </c>
    </row>
    <row r="391" spans="1:17" s="769" customFormat="1">
      <c r="A391" s="809" t="s">
        <v>767</v>
      </c>
      <c r="B391" s="810" t="s">
        <v>769</v>
      </c>
      <c r="C391" s="804" t="s">
        <v>51</v>
      </c>
      <c r="D391" s="801" t="s">
        <v>31</v>
      </c>
      <c r="E391" s="783">
        <f t="shared" ref="E391:E392" si="557">E387</f>
        <v>921097.3909499998</v>
      </c>
      <c r="F391" s="783"/>
      <c r="G391" s="783">
        <f t="shared" ref="G391:J392" si="558">G382</f>
        <v>9453.834230769231</v>
      </c>
      <c r="H391" s="783">
        <f t="shared" si="558"/>
        <v>10380.399999999998</v>
      </c>
      <c r="I391" s="783">
        <f t="shared" si="558"/>
        <v>5638.7688214285708</v>
      </c>
      <c r="J391" s="783">
        <f t="shared" si="558"/>
        <v>11413.97082</v>
      </c>
      <c r="K391" s="776">
        <f t="shared" si="551"/>
        <v>957984.36482219759</v>
      </c>
      <c r="L391" s="776">
        <f t="shared" si="552"/>
        <v>143697.65472332964</v>
      </c>
      <c r="M391" s="776">
        <f t="shared" si="553"/>
        <v>1101682.0195455272</v>
      </c>
      <c r="N391" s="776">
        <f t="shared" si="554"/>
        <v>952345.59600076906</v>
      </c>
      <c r="O391" s="776">
        <f t="shared" si="555"/>
        <v>142851.83940011536</v>
      </c>
      <c r="P391" s="776">
        <f t="shared" si="556"/>
        <v>1095197.4354008844</v>
      </c>
      <c r="Q391" s="783">
        <f t="shared" ref="Q391:Q392" si="559">Q387</f>
        <v>28571.659769230766</v>
      </c>
    </row>
    <row r="392" spans="1:17" s="769" customFormat="1">
      <c r="A392" s="809" t="s">
        <v>767</v>
      </c>
      <c r="B392" s="810" t="s">
        <v>770</v>
      </c>
      <c r="C392" s="804" t="s">
        <v>51</v>
      </c>
      <c r="D392" s="801" t="s">
        <v>31</v>
      </c>
      <c r="E392" s="783">
        <f t="shared" si="557"/>
        <v>1149756.0459</v>
      </c>
      <c r="F392" s="783"/>
      <c r="G392" s="783">
        <f t="shared" si="558"/>
        <v>12289.984499999999</v>
      </c>
      <c r="H392" s="783">
        <f t="shared" si="558"/>
        <v>10380.399999999998</v>
      </c>
      <c r="I392" s="783">
        <f t="shared" si="558"/>
        <v>7330.3994678571435</v>
      </c>
      <c r="J392" s="783">
        <f t="shared" si="558"/>
        <v>14838.162066000001</v>
      </c>
      <c r="K392" s="776">
        <f t="shared" si="551"/>
        <v>1194594.9919338571</v>
      </c>
      <c r="L392" s="776">
        <f t="shared" si="552"/>
        <v>179189.24879007856</v>
      </c>
      <c r="M392" s="776">
        <f t="shared" si="553"/>
        <v>1373784.2407239357</v>
      </c>
      <c r="N392" s="776">
        <f t="shared" si="554"/>
        <v>1187264.592466</v>
      </c>
      <c r="O392" s="776">
        <f t="shared" si="555"/>
        <v>178089.68886989998</v>
      </c>
      <c r="P392" s="776">
        <f t="shared" si="556"/>
        <v>1365354.2813359001</v>
      </c>
      <c r="Q392" s="783">
        <f t="shared" si="559"/>
        <v>35573.415307692303</v>
      </c>
    </row>
    <row r="393" spans="1:17" s="769" customFormat="1" ht="14">
      <c r="A393" s="771">
        <v>18</v>
      </c>
      <c r="B393" s="808" t="s">
        <v>267</v>
      </c>
      <c r="C393" s="804" t="s">
        <v>51</v>
      </c>
      <c r="D393" s="801" t="s">
        <v>31</v>
      </c>
      <c r="E393" s="783"/>
      <c r="F393" s="783"/>
      <c r="G393" s="783"/>
      <c r="H393" s="783"/>
      <c r="I393" s="783"/>
      <c r="J393" s="783"/>
      <c r="K393" s="776"/>
      <c r="L393" s="776"/>
      <c r="M393" s="776"/>
      <c r="N393" s="776"/>
      <c r="O393" s="776"/>
      <c r="P393" s="776"/>
      <c r="Q393" s="783"/>
    </row>
    <row r="394" spans="1:17" s="769" customFormat="1">
      <c r="A394" s="771">
        <v>18.100000000000001</v>
      </c>
      <c r="B394" s="808" t="s">
        <v>771</v>
      </c>
      <c r="C394" s="804" t="s">
        <v>51</v>
      </c>
      <c r="D394" s="801" t="s">
        <v>31</v>
      </c>
      <c r="E394" s="783"/>
      <c r="F394" s="783"/>
      <c r="G394" s="783"/>
      <c r="H394" s="783"/>
      <c r="I394" s="783"/>
      <c r="J394" s="783"/>
      <c r="K394" s="776"/>
      <c r="L394" s="776"/>
      <c r="M394" s="776"/>
      <c r="N394" s="776"/>
      <c r="O394" s="776"/>
      <c r="P394" s="776"/>
      <c r="Q394" s="783"/>
    </row>
    <row r="395" spans="1:17" s="769" customFormat="1">
      <c r="A395" s="809" t="s">
        <v>767</v>
      </c>
      <c r="B395" s="810" t="s">
        <v>768</v>
      </c>
      <c r="C395" s="804" t="s">
        <v>51</v>
      </c>
      <c r="D395" s="801" t="s">
        <v>31</v>
      </c>
      <c r="E395" s="783">
        <f>NCong!M528</f>
        <v>733828.4480999998</v>
      </c>
      <c r="F395" s="783"/>
      <c r="G395" s="783">
        <f>G386</f>
        <v>15756.390384615384</v>
      </c>
      <c r="H395" s="783">
        <f t="shared" ref="H395:J395" si="560">H386</f>
        <v>31754</v>
      </c>
      <c r="I395" s="783">
        <f t="shared" si="560"/>
        <v>9397.9480357142857</v>
      </c>
      <c r="J395" s="783">
        <f t="shared" si="560"/>
        <v>19023.2847</v>
      </c>
      <c r="K395" s="776">
        <f t="shared" ref="K395:K401" si="561">SUM(E395:J395)</f>
        <v>809760.0712203295</v>
      </c>
      <c r="L395" s="776">
        <f t="shared" ref="L395:L401" si="562">K395*15%</f>
        <v>121464.01068304942</v>
      </c>
      <c r="M395" s="776">
        <f t="shared" ref="M395:M401" si="563">K395+L395</f>
        <v>931224.08190337894</v>
      </c>
      <c r="N395" s="776">
        <f t="shared" ref="N395:N401" si="564">K395-I395</f>
        <v>800362.12318461516</v>
      </c>
      <c r="O395" s="776">
        <f t="shared" ref="O395:O401" si="565">$L$6*N395</f>
        <v>120054.31847769227</v>
      </c>
      <c r="P395" s="776">
        <f t="shared" ref="P395:P401" si="566">N395+O395</f>
        <v>920416.44166230748</v>
      </c>
      <c r="Q395" s="783">
        <f>NCong!P528</f>
        <v>22717.687384615383</v>
      </c>
    </row>
    <row r="396" spans="1:17" s="769" customFormat="1">
      <c r="A396" s="809" t="s">
        <v>767</v>
      </c>
      <c r="B396" s="810" t="s">
        <v>769</v>
      </c>
      <c r="C396" s="804" t="s">
        <v>51</v>
      </c>
      <c r="D396" s="801" t="s">
        <v>31</v>
      </c>
      <c r="E396" s="783">
        <f>NCong!N528</f>
        <v>907781.03954999987</v>
      </c>
      <c r="F396" s="783"/>
      <c r="G396" s="783">
        <f t="shared" ref="G396:J401" si="567">G387</f>
        <v>15756.390384615384</v>
      </c>
      <c r="H396" s="783">
        <f t="shared" si="567"/>
        <v>31754</v>
      </c>
      <c r="I396" s="783">
        <f t="shared" si="567"/>
        <v>9397.9480357142857</v>
      </c>
      <c r="J396" s="783">
        <f t="shared" si="567"/>
        <v>19023.2847</v>
      </c>
      <c r="K396" s="776">
        <f t="shared" si="561"/>
        <v>983712.66267032956</v>
      </c>
      <c r="L396" s="776">
        <f t="shared" si="562"/>
        <v>147556.89940054942</v>
      </c>
      <c r="M396" s="776">
        <f t="shared" si="563"/>
        <v>1131269.5620708789</v>
      </c>
      <c r="N396" s="776">
        <f t="shared" si="564"/>
        <v>974314.71463461523</v>
      </c>
      <c r="O396" s="776">
        <f t="shared" si="565"/>
        <v>146147.20719519228</v>
      </c>
      <c r="P396" s="776">
        <f t="shared" si="566"/>
        <v>1120461.9218298076</v>
      </c>
      <c r="Q396" s="783">
        <f>NCong!Q528</f>
        <v>28212.244076923071</v>
      </c>
    </row>
    <row r="397" spans="1:17" s="769" customFormat="1">
      <c r="A397" s="809" t="s">
        <v>767</v>
      </c>
      <c r="B397" s="810" t="s">
        <v>770</v>
      </c>
      <c r="C397" s="804" t="s">
        <v>51</v>
      </c>
      <c r="D397" s="801" t="s">
        <v>31</v>
      </c>
      <c r="E397" s="783">
        <f>NCong!O527</f>
        <v>1149756.0459</v>
      </c>
      <c r="F397" s="783"/>
      <c r="G397" s="783">
        <f t="shared" si="567"/>
        <v>20483.307499999999</v>
      </c>
      <c r="H397" s="783">
        <f t="shared" si="567"/>
        <v>31754</v>
      </c>
      <c r="I397" s="783">
        <f t="shared" si="567"/>
        <v>12217.332446428572</v>
      </c>
      <c r="J397" s="783">
        <f t="shared" si="567"/>
        <v>24730.270110000001</v>
      </c>
      <c r="K397" s="776">
        <f t="shared" si="561"/>
        <v>1238940.9559564285</v>
      </c>
      <c r="L397" s="776">
        <f t="shared" si="562"/>
        <v>185841.14339346427</v>
      </c>
      <c r="M397" s="776">
        <f t="shared" si="563"/>
        <v>1424782.0993498927</v>
      </c>
      <c r="N397" s="776">
        <f t="shared" si="564"/>
        <v>1226723.6235100001</v>
      </c>
      <c r="O397" s="776">
        <f t="shared" si="565"/>
        <v>184008.5435265</v>
      </c>
      <c r="P397" s="776">
        <f t="shared" si="566"/>
        <v>1410732.1670365001</v>
      </c>
      <c r="Q397" s="783">
        <f>NCong!R528</f>
        <v>34921.142384615378</v>
      </c>
    </row>
    <row r="398" spans="1:17" s="769" customFormat="1">
      <c r="A398" s="771">
        <v>18.2</v>
      </c>
      <c r="B398" s="808" t="s">
        <v>772</v>
      </c>
      <c r="C398" s="804" t="s">
        <v>51</v>
      </c>
      <c r="D398" s="801" t="s">
        <v>31</v>
      </c>
      <c r="E398" s="783"/>
      <c r="F398" s="783"/>
      <c r="G398" s="783"/>
      <c r="H398" s="783"/>
      <c r="I398" s="783"/>
      <c r="J398" s="783"/>
      <c r="K398" s="776"/>
      <c r="L398" s="776"/>
      <c r="M398" s="776"/>
      <c r="N398" s="776"/>
      <c r="O398" s="776"/>
      <c r="P398" s="776"/>
      <c r="Q398" s="783"/>
    </row>
    <row r="399" spans="1:17" s="769" customFormat="1">
      <c r="A399" s="809" t="s">
        <v>767</v>
      </c>
      <c r="B399" s="810" t="s">
        <v>768</v>
      </c>
      <c r="C399" s="804" t="s">
        <v>51</v>
      </c>
      <c r="D399" s="801" t="s">
        <v>31</v>
      </c>
      <c r="E399" s="783">
        <f>E395</f>
        <v>733828.4480999998</v>
      </c>
      <c r="F399" s="783"/>
      <c r="G399" s="783">
        <f t="shared" si="567"/>
        <v>9453.834230769231</v>
      </c>
      <c r="H399" s="783">
        <f t="shared" si="567"/>
        <v>10380.399999999998</v>
      </c>
      <c r="I399" s="783">
        <f t="shared" si="567"/>
        <v>5638.7688214285708</v>
      </c>
      <c r="J399" s="783">
        <f t="shared" si="567"/>
        <v>11413.97082</v>
      </c>
      <c r="K399" s="776">
        <f t="shared" si="561"/>
        <v>770715.4219721976</v>
      </c>
      <c r="L399" s="776">
        <f t="shared" si="562"/>
        <v>115607.31329582963</v>
      </c>
      <c r="M399" s="776">
        <f t="shared" si="563"/>
        <v>886322.73526802729</v>
      </c>
      <c r="N399" s="776">
        <f t="shared" si="564"/>
        <v>765076.65315076907</v>
      </c>
      <c r="O399" s="776">
        <f t="shared" si="565"/>
        <v>114761.49797261535</v>
      </c>
      <c r="P399" s="776">
        <f t="shared" si="566"/>
        <v>879838.15112338448</v>
      </c>
      <c r="Q399" s="783">
        <f>Q395</f>
        <v>22717.687384615383</v>
      </c>
    </row>
    <row r="400" spans="1:17" s="769" customFormat="1">
      <c r="A400" s="809" t="s">
        <v>767</v>
      </c>
      <c r="B400" s="810" t="s">
        <v>769</v>
      </c>
      <c r="C400" s="804" t="s">
        <v>51</v>
      </c>
      <c r="D400" s="801" t="s">
        <v>31</v>
      </c>
      <c r="E400" s="783">
        <f t="shared" ref="E400:E401" si="568">E396</f>
        <v>907781.03954999987</v>
      </c>
      <c r="F400" s="783"/>
      <c r="G400" s="783">
        <f t="shared" si="567"/>
        <v>9453.834230769231</v>
      </c>
      <c r="H400" s="783">
        <f t="shared" si="567"/>
        <v>10380.399999999998</v>
      </c>
      <c r="I400" s="783">
        <f t="shared" si="567"/>
        <v>5638.7688214285708</v>
      </c>
      <c r="J400" s="783">
        <f t="shared" si="567"/>
        <v>11413.97082</v>
      </c>
      <c r="K400" s="776">
        <f t="shared" si="561"/>
        <v>944668.01342219766</v>
      </c>
      <c r="L400" s="776">
        <f t="shared" si="562"/>
        <v>141700.20201332963</v>
      </c>
      <c r="M400" s="776">
        <f t="shared" si="563"/>
        <v>1086368.2154355273</v>
      </c>
      <c r="N400" s="776">
        <f t="shared" si="564"/>
        <v>939029.24460076913</v>
      </c>
      <c r="O400" s="776">
        <f t="shared" si="565"/>
        <v>140854.38669011535</v>
      </c>
      <c r="P400" s="776">
        <f t="shared" si="566"/>
        <v>1079883.6312908845</v>
      </c>
      <c r="Q400" s="783">
        <f t="shared" ref="Q400:Q401" si="569">Q396</f>
        <v>28212.244076923071</v>
      </c>
    </row>
    <row r="401" spans="1:17" s="769" customFormat="1">
      <c r="A401" s="809" t="s">
        <v>767</v>
      </c>
      <c r="B401" s="810" t="s">
        <v>770</v>
      </c>
      <c r="C401" s="804" t="s">
        <v>51</v>
      </c>
      <c r="D401" s="801" t="s">
        <v>31</v>
      </c>
      <c r="E401" s="783">
        <f t="shared" si="568"/>
        <v>1149756.0459</v>
      </c>
      <c r="F401" s="783"/>
      <c r="G401" s="783">
        <f t="shared" si="567"/>
        <v>12289.984499999999</v>
      </c>
      <c r="H401" s="783">
        <f t="shared" si="567"/>
        <v>10380.399999999998</v>
      </c>
      <c r="I401" s="783">
        <f t="shared" si="567"/>
        <v>7330.3994678571435</v>
      </c>
      <c r="J401" s="783">
        <f t="shared" si="567"/>
        <v>14838.162066000001</v>
      </c>
      <c r="K401" s="776">
        <f t="shared" si="561"/>
        <v>1194594.9919338571</v>
      </c>
      <c r="L401" s="776">
        <f t="shared" si="562"/>
        <v>179189.24879007856</v>
      </c>
      <c r="M401" s="776">
        <f t="shared" si="563"/>
        <v>1373784.2407239357</v>
      </c>
      <c r="N401" s="776">
        <f t="shared" si="564"/>
        <v>1187264.592466</v>
      </c>
      <c r="O401" s="776">
        <f t="shared" si="565"/>
        <v>178089.68886989998</v>
      </c>
      <c r="P401" s="776">
        <f t="shared" si="566"/>
        <v>1365354.2813359001</v>
      </c>
      <c r="Q401" s="783">
        <f t="shared" si="569"/>
        <v>34921.142384615378</v>
      </c>
    </row>
    <row r="402" spans="1:17" s="769" customFormat="1" ht="21">
      <c r="A402" s="771">
        <v>19</v>
      </c>
      <c r="B402" s="808" t="s">
        <v>763</v>
      </c>
      <c r="C402" s="804" t="s">
        <v>51</v>
      </c>
      <c r="D402" s="801" t="s">
        <v>31</v>
      </c>
      <c r="E402" s="783"/>
      <c r="F402" s="783"/>
      <c r="G402" s="783"/>
      <c r="H402" s="783"/>
      <c r="I402" s="783"/>
      <c r="J402" s="783"/>
      <c r="K402" s="776"/>
      <c r="L402" s="776"/>
      <c r="M402" s="776"/>
      <c r="N402" s="776"/>
      <c r="O402" s="776"/>
      <c r="P402" s="776"/>
      <c r="Q402" s="783"/>
    </row>
    <row r="403" spans="1:17" s="769" customFormat="1">
      <c r="A403" s="771">
        <v>19.100000000000001</v>
      </c>
      <c r="B403" s="808" t="s">
        <v>771</v>
      </c>
      <c r="C403" s="804" t="s">
        <v>51</v>
      </c>
      <c r="D403" s="801" t="s">
        <v>31</v>
      </c>
      <c r="E403" s="783"/>
      <c r="F403" s="783"/>
      <c r="G403" s="783"/>
      <c r="H403" s="783"/>
      <c r="I403" s="783"/>
      <c r="J403" s="783"/>
      <c r="K403" s="776"/>
      <c r="L403" s="776"/>
      <c r="M403" s="776"/>
      <c r="N403" s="776"/>
      <c r="O403" s="776"/>
      <c r="P403" s="776"/>
      <c r="Q403" s="783"/>
    </row>
    <row r="404" spans="1:17" s="769" customFormat="1">
      <c r="A404" s="809" t="s">
        <v>767</v>
      </c>
      <c r="B404" s="810" t="s">
        <v>768</v>
      </c>
      <c r="C404" s="804" t="s">
        <v>51</v>
      </c>
      <c r="D404" s="801" t="s">
        <v>31</v>
      </c>
      <c r="E404" s="783">
        <f>NCong!M529</f>
        <v>743473.21289999981</v>
      </c>
      <c r="F404" s="783"/>
      <c r="G404" s="783">
        <f>G395</f>
        <v>15756.390384615384</v>
      </c>
      <c r="H404" s="783">
        <f t="shared" ref="H404:J404" si="570">H395</f>
        <v>31754</v>
      </c>
      <c r="I404" s="783">
        <f t="shared" si="570"/>
        <v>9397.9480357142857</v>
      </c>
      <c r="J404" s="783">
        <f t="shared" si="570"/>
        <v>19023.2847</v>
      </c>
      <c r="K404" s="776">
        <f t="shared" ref="K404:K406" si="571">SUM(E404:J404)</f>
        <v>819404.8360203295</v>
      </c>
      <c r="L404" s="776">
        <f t="shared" ref="L404:L406" si="572">K404*15%</f>
        <v>122910.72540304942</v>
      </c>
      <c r="M404" s="776">
        <f t="shared" ref="M404:M406" si="573">K404+L404</f>
        <v>942315.56142337888</v>
      </c>
      <c r="N404" s="776">
        <f t="shared" ref="N404:N406" si="574">K404-I404</f>
        <v>810006.88798461517</v>
      </c>
      <c r="O404" s="776">
        <f t="shared" ref="O404:O406" si="575">$L$6*N404</f>
        <v>121501.03319769228</v>
      </c>
      <c r="P404" s="776">
        <f t="shared" ref="P404:P406" si="576">N404+O404</f>
        <v>931507.92118230741</v>
      </c>
      <c r="Q404" s="783">
        <f>NCong!P529</f>
        <v>22978.004923076922</v>
      </c>
    </row>
    <row r="405" spans="1:17" s="769" customFormat="1">
      <c r="A405" s="809" t="s">
        <v>767</v>
      </c>
      <c r="B405" s="810" t="s">
        <v>769</v>
      </c>
      <c r="C405" s="804" t="s">
        <v>51</v>
      </c>
      <c r="D405" s="801" t="s">
        <v>31</v>
      </c>
      <c r="E405" s="783">
        <f>NCong!N529</f>
        <v>921097.3909499998</v>
      </c>
      <c r="F405" s="783"/>
      <c r="G405" s="783">
        <f t="shared" ref="G405:J410" si="577">G396</f>
        <v>15756.390384615384</v>
      </c>
      <c r="H405" s="783">
        <f t="shared" si="577"/>
        <v>31754</v>
      </c>
      <c r="I405" s="783">
        <f t="shared" si="577"/>
        <v>9397.9480357142857</v>
      </c>
      <c r="J405" s="783">
        <f t="shared" si="577"/>
        <v>19023.2847</v>
      </c>
      <c r="K405" s="776">
        <f t="shared" si="571"/>
        <v>997029.01407032949</v>
      </c>
      <c r="L405" s="776">
        <f t="shared" si="572"/>
        <v>149554.35211054943</v>
      </c>
      <c r="M405" s="776">
        <f t="shared" si="573"/>
        <v>1146583.3661808788</v>
      </c>
      <c r="N405" s="776">
        <f t="shared" si="574"/>
        <v>987631.06603461516</v>
      </c>
      <c r="O405" s="776">
        <f t="shared" si="575"/>
        <v>148144.65990519227</v>
      </c>
      <c r="P405" s="776">
        <f t="shared" si="576"/>
        <v>1135775.7259398075</v>
      </c>
      <c r="Q405" s="783">
        <f>NCong!Q529</f>
        <v>28571.659769230766</v>
      </c>
    </row>
    <row r="406" spans="1:17" s="769" customFormat="1">
      <c r="A406" s="809" t="s">
        <v>767</v>
      </c>
      <c r="B406" s="810" t="s">
        <v>770</v>
      </c>
      <c r="C406" s="804" t="s">
        <v>51</v>
      </c>
      <c r="D406" s="801" t="s">
        <v>31</v>
      </c>
      <c r="E406" s="783">
        <f>NCong!O529</f>
        <v>1149756.0459</v>
      </c>
      <c r="F406" s="783"/>
      <c r="G406" s="783">
        <f t="shared" si="577"/>
        <v>20483.307499999999</v>
      </c>
      <c r="H406" s="783">
        <f t="shared" si="577"/>
        <v>31754</v>
      </c>
      <c r="I406" s="783">
        <f t="shared" si="577"/>
        <v>12217.332446428572</v>
      </c>
      <c r="J406" s="783">
        <f t="shared" si="577"/>
        <v>24730.270110000001</v>
      </c>
      <c r="K406" s="776">
        <f t="shared" si="571"/>
        <v>1238940.9559564285</v>
      </c>
      <c r="L406" s="776">
        <f t="shared" si="572"/>
        <v>185841.14339346427</v>
      </c>
      <c r="M406" s="776">
        <f t="shared" si="573"/>
        <v>1424782.0993498927</v>
      </c>
      <c r="N406" s="776">
        <f t="shared" si="574"/>
        <v>1226723.6235100001</v>
      </c>
      <c r="O406" s="776">
        <f t="shared" si="575"/>
        <v>184008.5435265</v>
      </c>
      <c r="P406" s="776">
        <f t="shared" si="576"/>
        <v>1410732.1670365001</v>
      </c>
      <c r="Q406" s="783">
        <f>NCong!R529</f>
        <v>35573.415307692303</v>
      </c>
    </row>
    <row r="407" spans="1:17" s="769" customFormat="1">
      <c r="A407" s="771">
        <v>19.2</v>
      </c>
      <c r="B407" s="808" t="s">
        <v>772</v>
      </c>
      <c r="C407" s="804" t="s">
        <v>51</v>
      </c>
      <c r="D407" s="801" t="s">
        <v>31</v>
      </c>
      <c r="E407" s="783"/>
      <c r="F407" s="783"/>
      <c r="G407" s="783"/>
      <c r="H407" s="783"/>
      <c r="I407" s="783"/>
      <c r="J407" s="783"/>
      <c r="K407" s="776"/>
      <c r="L407" s="776"/>
      <c r="M407" s="776"/>
      <c r="N407" s="776"/>
      <c r="O407" s="776"/>
      <c r="P407" s="776"/>
      <c r="Q407" s="783"/>
    </row>
    <row r="408" spans="1:17" s="769" customFormat="1">
      <c r="A408" s="809" t="s">
        <v>767</v>
      </c>
      <c r="B408" s="810" t="s">
        <v>768</v>
      </c>
      <c r="C408" s="804" t="s">
        <v>51</v>
      </c>
      <c r="D408" s="801" t="s">
        <v>31</v>
      </c>
      <c r="E408" s="783">
        <f>E404</f>
        <v>743473.21289999981</v>
      </c>
      <c r="F408" s="783"/>
      <c r="G408" s="783">
        <f t="shared" si="577"/>
        <v>9453.834230769231</v>
      </c>
      <c r="H408" s="783">
        <f t="shared" si="577"/>
        <v>10380.399999999998</v>
      </c>
      <c r="I408" s="783">
        <f t="shared" si="577"/>
        <v>5638.7688214285708</v>
      </c>
      <c r="J408" s="783">
        <f t="shared" si="577"/>
        <v>11413.97082</v>
      </c>
      <c r="K408" s="776">
        <f t="shared" ref="K408:K410" si="578">SUM(E408:J408)</f>
        <v>780360.1867721976</v>
      </c>
      <c r="L408" s="776">
        <f t="shared" ref="L408:L410" si="579">K408*15%</f>
        <v>117054.02801582964</v>
      </c>
      <c r="M408" s="776">
        <f t="shared" ref="M408:M410" si="580">K408+L408</f>
        <v>897414.21478802722</v>
      </c>
      <c r="N408" s="776">
        <f t="shared" ref="N408:N410" si="581">K408-I408</f>
        <v>774721.41795076907</v>
      </c>
      <c r="O408" s="776">
        <f t="shared" ref="O408:O410" si="582">$L$6*N408</f>
        <v>116208.21269261536</v>
      </c>
      <c r="P408" s="776">
        <f t="shared" ref="P408:P410" si="583">N408+O408</f>
        <v>890929.63064338441</v>
      </c>
      <c r="Q408" s="783">
        <f>Q404</f>
        <v>22978.004923076922</v>
      </c>
    </row>
    <row r="409" spans="1:17" s="769" customFormat="1">
      <c r="A409" s="809" t="s">
        <v>767</v>
      </c>
      <c r="B409" s="810" t="s">
        <v>769</v>
      </c>
      <c r="C409" s="804" t="s">
        <v>51</v>
      </c>
      <c r="D409" s="801" t="s">
        <v>31</v>
      </c>
      <c r="E409" s="783">
        <f t="shared" ref="E409:E410" si="584">E405</f>
        <v>921097.3909499998</v>
      </c>
      <c r="F409" s="783"/>
      <c r="G409" s="783">
        <f t="shared" si="577"/>
        <v>9453.834230769231</v>
      </c>
      <c r="H409" s="783">
        <f t="shared" si="577"/>
        <v>10380.399999999998</v>
      </c>
      <c r="I409" s="783">
        <f t="shared" si="577"/>
        <v>5638.7688214285708</v>
      </c>
      <c r="J409" s="783">
        <f t="shared" si="577"/>
        <v>11413.97082</v>
      </c>
      <c r="K409" s="776">
        <f t="shared" si="578"/>
        <v>957984.36482219759</v>
      </c>
      <c r="L409" s="776">
        <f t="shared" si="579"/>
        <v>143697.65472332964</v>
      </c>
      <c r="M409" s="776">
        <f t="shared" si="580"/>
        <v>1101682.0195455272</v>
      </c>
      <c r="N409" s="776">
        <f t="shared" si="581"/>
        <v>952345.59600076906</v>
      </c>
      <c r="O409" s="776">
        <f t="shared" si="582"/>
        <v>142851.83940011536</v>
      </c>
      <c r="P409" s="776">
        <f t="shared" si="583"/>
        <v>1095197.4354008844</v>
      </c>
      <c r="Q409" s="783">
        <f t="shared" ref="Q409:Q410" si="585">Q405</f>
        <v>28571.659769230766</v>
      </c>
    </row>
    <row r="410" spans="1:17" s="769" customFormat="1">
      <c r="A410" s="809" t="s">
        <v>767</v>
      </c>
      <c r="B410" s="810" t="s">
        <v>770</v>
      </c>
      <c r="C410" s="804" t="s">
        <v>51</v>
      </c>
      <c r="D410" s="801" t="s">
        <v>31</v>
      </c>
      <c r="E410" s="783">
        <f t="shared" si="584"/>
        <v>1149756.0459</v>
      </c>
      <c r="F410" s="783"/>
      <c r="G410" s="783">
        <f t="shared" si="577"/>
        <v>12289.984499999999</v>
      </c>
      <c r="H410" s="783">
        <f t="shared" si="577"/>
        <v>10380.399999999998</v>
      </c>
      <c r="I410" s="783">
        <f t="shared" si="577"/>
        <v>7330.3994678571435</v>
      </c>
      <c r="J410" s="783">
        <f t="shared" si="577"/>
        <v>14838.162066000001</v>
      </c>
      <c r="K410" s="776">
        <f t="shared" si="578"/>
        <v>1194594.9919338571</v>
      </c>
      <c r="L410" s="776">
        <f t="shared" si="579"/>
        <v>179189.24879007856</v>
      </c>
      <c r="M410" s="776">
        <f t="shared" si="580"/>
        <v>1373784.2407239357</v>
      </c>
      <c r="N410" s="776">
        <f t="shared" si="581"/>
        <v>1187264.592466</v>
      </c>
      <c r="O410" s="776">
        <f t="shared" si="582"/>
        <v>178089.68886989998</v>
      </c>
      <c r="P410" s="776">
        <f t="shared" si="583"/>
        <v>1365354.2813359001</v>
      </c>
      <c r="Q410" s="783">
        <f t="shared" si="585"/>
        <v>35573.415307692303</v>
      </c>
    </row>
    <row r="411" spans="1:17" s="769" customFormat="1">
      <c r="A411" s="771">
        <v>20</v>
      </c>
      <c r="B411" s="808" t="s">
        <v>270</v>
      </c>
      <c r="C411" s="804" t="s">
        <v>51</v>
      </c>
      <c r="D411" s="801" t="s">
        <v>31</v>
      </c>
      <c r="E411" s="783"/>
      <c r="F411" s="783"/>
      <c r="G411" s="783"/>
      <c r="H411" s="783"/>
      <c r="I411" s="783"/>
      <c r="J411" s="783"/>
      <c r="K411" s="776"/>
      <c r="L411" s="776"/>
      <c r="M411" s="776"/>
      <c r="N411" s="776"/>
      <c r="O411" s="776"/>
      <c r="P411" s="776"/>
      <c r="Q411" s="783"/>
    </row>
    <row r="412" spans="1:17" s="769" customFormat="1">
      <c r="A412" s="771">
        <v>20.100000000000001</v>
      </c>
      <c r="B412" s="808" t="s">
        <v>771</v>
      </c>
      <c r="C412" s="804" t="s">
        <v>51</v>
      </c>
      <c r="D412" s="801" t="s">
        <v>31</v>
      </c>
      <c r="E412" s="783"/>
      <c r="F412" s="783"/>
      <c r="G412" s="783"/>
      <c r="H412" s="783"/>
      <c r="I412" s="783"/>
      <c r="J412" s="783"/>
      <c r="K412" s="776"/>
      <c r="L412" s="776"/>
      <c r="M412" s="776"/>
      <c r="N412" s="776"/>
      <c r="O412" s="776"/>
      <c r="P412" s="776"/>
      <c r="Q412" s="783"/>
    </row>
    <row r="413" spans="1:17" s="769" customFormat="1">
      <c r="A413" s="809" t="s">
        <v>767</v>
      </c>
      <c r="B413" s="810" t="s">
        <v>768</v>
      </c>
      <c r="C413" s="804" t="s">
        <v>51</v>
      </c>
      <c r="D413" s="801" t="s">
        <v>31</v>
      </c>
      <c r="E413" s="783">
        <f>NCong!M530</f>
        <v>737952.85409999988</v>
      </c>
      <c r="F413" s="783"/>
      <c r="G413" s="783">
        <f>G404</f>
        <v>15756.390384615384</v>
      </c>
      <c r="H413" s="783">
        <f t="shared" ref="H413:J413" si="586">H404</f>
        <v>31754</v>
      </c>
      <c r="I413" s="783">
        <f t="shared" si="586"/>
        <v>9397.9480357142857</v>
      </c>
      <c r="J413" s="783">
        <f t="shared" si="586"/>
        <v>19023.2847</v>
      </c>
      <c r="K413" s="776">
        <f t="shared" ref="K413:K415" si="587">SUM(E413:J413)</f>
        <v>813884.47722032957</v>
      </c>
      <c r="L413" s="776">
        <f t="shared" ref="L413:L415" si="588">K413*15%</f>
        <v>122082.67158304944</v>
      </c>
      <c r="M413" s="776">
        <f t="shared" ref="M413:M415" si="589">K413+L413</f>
        <v>935967.14880337904</v>
      </c>
      <c r="N413" s="776">
        <f t="shared" ref="N413:N415" si="590">K413-I413</f>
        <v>804486.52918461524</v>
      </c>
      <c r="O413" s="776">
        <f t="shared" ref="O413:O415" si="591">$L$6*N413</f>
        <v>120672.97937769227</v>
      </c>
      <c r="P413" s="776">
        <f t="shared" ref="P413:P415" si="592">N413+O413</f>
        <v>925159.50856230757</v>
      </c>
      <c r="Q413" s="783">
        <f>NCong!P530</f>
        <v>22829.007384615383</v>
      </c>
    </row>
    <row r="414" spans="1:17" s="769" customFormat="1">
      <c r="A414" s="809" t="s">
        <v>767</v>
      </c>
      <c r="B414" s="810" t="s">
        <v>769</v>
      </c>
      <c r="C414" s="804" t="s">
        <v>51</v>
      </c>
      <c r="D414" s="801" t="s">
        <v>31</v>
      </c>
      <c r="E414" s="783">
        <f>NCong!N530</f>
        <v>913475.53192499978</v>
      </c>
      <c r="F414" s="783"/>
      <c r="G414" s="783">
        <f t="shared" ref="G414:J419" si="593">G405</f>
        <v>15756.390384615384</v>
      </c>
      <c r="H414" s="783">
        <f t="shared" si="593"/>
        <v>31754</v>
      </c>
      <c r="I414" s="783">
        <f t="shared" si="593"/>
        <v>9397.9480357142857</v>
      </c>
      <c r="J414" s="783">
        <f t="shared" si="593"/>
        <v>19023.2847</v>
      </c>
      <c r="K414" s="776">
        <f t="shared" si="587"/>
        <v>989407.15504532948</v>
      </c>
      <c r="L414" s="776">
        <f t="shared" si="588"/>
        <v>148411.07325679943</v>
      </c>
      <c r="M414" s="776">
        <f t="shared" si="589"/>
        <v>1137818.2283021288</v>
      </c>
      <c r="N414" s="776">
        <f t="shared" si="590"/>
        <v>980009.20700961514</v>
      </c>
      <c r="O414" s="776">
        <f t="shared" si="591"/>
        <v>147001.38105144227</v>
      </c>
      <c r="P414" s="776">
        <f t="shared" si="592"/>
        <v>1127010.5880610575</v>
      </c>
      <c r="Q414" s="783">
        <f>NCong!Q530</f>
        <v>28365.941576923073</v>
      </c>
    </row>
    <row r="415" spans="1:17" s="769" customFormat="1">
      <c r="A415" s="809" t="s">
        <v>767</v>
      </c>
      <c r="B415" s="810" t="s">
        <v>770</v>
      </c>
      <c r="C415" s="804" t="s">
        <v>51</v>
      </c>
      <c r="D415" s="801" t="s">
        <v>31</v>
      </c>
      <c r="E415" s="783">
        <f>NCong!O530</f>
        <v>1135923.7832250001</v>
      </c>
      <c r="F415" s="783"/>
      <c r="G415" s="783">
        <f t="shared" si="593"/>
        <v>20483.307499999999</v>
      </c>
      <c r="H415" s="783">
        <f t="shared" si="593"/>
        <v>31754</v>
      </c>
      <c r="I415" s="783">
        <f t="shared" si="593"/>
        <v>12217.332446428572</v>
      </c>
      <c r="J415" s="783">
        <f t="shared" si="593"/>
        <v>24730.270110000001</v>
      </c>
      <c r="K415" s="776">
        <f t="shared" si="587"/>
        <v>1225108.6932814287</v>
      </c>
      <c r="L415" s="776">
        <f t="shared" si="588"/>
        <v>183766.30399221429</v>
      </c>
      <c r="M415" s="776">
        <f t="shared" si="589"/>
        <v>1408874.997273643</v>
      </c>
      <c r="N415" s="776">
        <f t="shared" si="590"/>
        <v>1212891.3608350002</v>
      </c>
      <c r="O415" s="776">
        <f t="shared" si="591"/>
        <v>181933.70412525002</v>
      </c>
      <c r="P415" s="776">
        <f t="shared" si="592"/>
        <v>1394825.0649602502</v>
      </c>
      <c r="Q415" s="783">
        <f>NCong!R530</f>
        <v>35200.07488461538</v>
      </c>
    </row>
    <row r="416" spans="1:17" s="769" customFormat="1">
      <c r="A416" s="771">
        <v>20.2</v>
      </c>
      <c r="B416" s="808" t="s">
        <v>772</v>
      </c>
      <c r="C416" s="804" t="s">
        <v>51</v>
      </c>
      <c r="D416" s="801" t="s">
        <v>31</v>
      </c>
      <c r="E416" s="783"/>
      <c r="F416" s="783"/>
      <c r="G416" s="783"/>
      <c r="H416" s="783"/>
      <c r="I416" s="783"/>
      <c r="J416" s="783"/>
      <c r="K416" s="776"/>
      <c r="L416" s="776"/>
      <c r="M416" s="776"/>
      <c r="N416" s="776"/>
      <c r="O416" s="776"/>
      <c r="P416" s="776"/>
      <c r="Q416" s="783"/>
    </row>
    <row r="417" spans="1:17" s="769" customFormat="1">
      <c r="A417" s="809" t="s">
        <v>767</v>
      </c>
      <c r="B417" s="810" t="s">
        <v>768</v>
      </c>
      <c r="C417" s="804" t="s">
        <v>51</v>
      </c>
      <c r="D417" s="801" t="s">
        <v>31</v>
      </c>
      <c r="E417" s="783">
        <f>E413</f>
        <v>737952.85409999988</v>
      </c>
      <c r="F417" s="783"/>
      <c r="G417" s="783">
        <f t="shared" si="593"/>
        <v>9453.834230769231</v>
      </c>
      <c r="H417" s="783">
        <f t="shared" si="593"/>
        <v>10380.399999999998</v>
      </c>
      <c r="I417" s="783">
        <f t="shared" si="593"/>
        <v>5638.7688214285708</v>
      </c>
      <c r="J417" s="783">
        <f t="shared" si="593"/>
        <v>11413.97082</v>
      </c>
      <c r="K417" s="776">
        <f t="shared" ref="K417:K419" si="594">SUM(E417:J417)</f>
        <v>774839.82797219767</v>
      </c>
      <c r="L417" s="776">
        <f t="shared" ref="L417:L419" si="595">K417*15%</f>
        <v>116225.97419582965</v>
      </c>
      <c r="M417" s="776">
        <f t="shared" ref="M417:M419" si="596">K417+L417</f>
        <v>891065.80216802726</v>
      </c>
      <c r="N417" s="776">
        <f t="shared" ref="N417:N419" si="597">K417-I417</f>
        <v>769201.05915076914</v>
      </c>
      <c r="O417" s="776">
        <f t="shared" ref="O417:O419" si="598">$L$6*N417</f>
        <v>115380.15887261537</v>
      </c>
      <c r="P417" s="776">
        <f t="shared" ref="P417:P419" si="599">N417+O417</f>
        <v>884581.21802338446</v>
      </c>
      <c r="Q417" s="783">
        <f>Q413</f>
        <v>22829.007384615383</v>
      </c>
    </row>
    <row r="418" spans="1:17" s="769" customFormat="1">
      <c r="A418" s="809" t="s">
        <v>767</v>
      </c>
      <c r="B418" s="810" t="s">
        <v>769</v>
      </c>
      <c r="C418" s="804" t="s">
        <v>51</v>
      </c>
      <c r="D418" s="801" t="s">
        <v>31</v>
      </c>
      <c r="E418" s="783">
        <f t="shared" ref="E418:E419" si="600">E414</f>
        <v>913475.53192499978</v>
      </c>
      <c r="F418" s="783"/>
      <c r="G418" s="783">
        <f t="shared" si="593"/>
        <v>9453.834230769231</v>
      </c>
      <c r="H418" s="783">
        <f t="shared" si="593"/>
        <v>10380.399999999998</v>
      </c>
      <c r="I418" s="783">
        <f t="shared" si="593"/>
        <v>5638.7688214285708</v>
      </c>
      <c r="J418" s="783">
        <f t="shared" si="593"/>
        <v>11413.97082</v>
      </c>
      <c r="K418" s="776">
        <f t="shared" si="594"/>
        <v>950362.50579719758</v>
      </c>
      <c r="L418" s="776">
        <f t="shared" si="595"/>
        <v>142554.37586957964</v>
      </c>
      <c r="M418" s="776">
        <f t="shared" si="596"/>
        <v>1092916.8816667772</v>
      </c>
      <c r="N418" s="776">
        <f t="shared" si="597"/>
        <v>944723.73697576905</v>
      </c>
      <c r="O418" s="776">
        <f t="shared" si="598"/>
        <v>141708.56054636536</v>
      </c>
      <c r="P418" s="776">
        <f t="shared" si="599"/>
        <v>1086432.2975221344</v>
      </c>
      <c r="Q418" s="783">
        <f t="shared" ref="Q418:Q419" si="601">Q414</f>
        <v>28365.941576923073</v>
      </c>
    </row>
    <row r="419" spans="1:17" s="769" customFormat="1">
      <c r="A419" s="809" t="s">
        <v>767</v>
      </c>
      <c r="B419" s="810" t="s">
        <v>770</v>
      </c>
      <c r="C419" s="804" t="s">
        <v>51</v>
      </c>
      <c r="D419" s="801" t="s">
        <v>31</v>
      </c>
      <c r="E419" s="783">
        <f t="shared" si="600"/>
        <v>1135923.7832250001</v>
      </c>
      <c r="F419" s="783"/>
      <c r="G419" s="783">
        <f t="shared" si="593"/>
        <v>12289.984499999999</v>
      </c>
      <c r="H419" s="783">
        <f t="shared" si="593"/>
        <v>10380.399999999998</v>
      </c>
      <c r="I419" s="783">
        <f t="shared" si="593"/>
        <v>7330.3994678571435</v>
      </c>
      <c r="J419" s="783">
        <f t="shared" si="593"/>
        <v>14838.162066000001</v>
      </c>
      <c r="K419" s="776">
        <f t="shared" si="594"/>
        <v>1180762.7292588572</v>
      </c>
      <c r="L419" s="776">
        <f t="shared" si="595"/>
        <v>177114.40938882859</v>
      </c>
      <c r="M419" s="776">
        <f t="shared" si="596"/>
        <v>1357877.1386476858</v>
      </c>
      <c r="N419" s="776">
        <f t="shared" si="597"/>
        <v>1173432.3297910001</v>
      </c>
      <c r="O419" s="776">
        <f t="shared" si="598"/>
        <v>176014.84946865001</v>
      </c>
      <c r="P419" s="776">
        <f t="shared" si="599"/>
        <v>1349447.1792596502</v>
      </c>
      <c r="Q419" s="783">
        <f t="shared" si="601"/>
        <v>35200.07488461538</v>
      </c>
    </row>
    <row r="420" spans="1:17" s="769" customFormat="1">
      <c r="A420" s="771">
        <v>21</v>
      </c>
      <c r="B420" s="808" t="s">
        <v>272</v>
      </c>
      <c r="C420" s="804" t="s">
        <v>51</v>
      </c>
      <c r="D420" s="801" t="s">
        <v>31</v>
      </c>
      <c r="E420" s="783"/>
      <c r="F420" s="783"/>
      <c r="G420" s="783"/>
      <c r="H420" s="783"/>
      <c r="I420" s="783"/>
      <c r="J420" s="783"/>
      <c r="K420" s="776"/>
      <c r="L420" s="776"/>
      <c r="M420" s="776"/>
      <c r="N420" s="776"/>
      <c r="O420" s="776"/>
      <c r="P420" s="776"/>
      <c r="Q420" s="783"/>
    </row>
    <row r="421" spans="1:17" s="769" customFormat="1">
      <c r="A421" s="771">
        <v>21.1</v>
      </c>
      <c r="B421" s="808" t="s">
        <v>771</v>
      </c>
      <c r="C421" s="804" t="s">
        <v>51</v>
      </c>
      <c r="D421" s="801" t="s">
        <v>31</v>
      </c>
      <c r="E421" s="783"/>
      <c r="F421" s="783"/>
      <c r="G421" s="783"/>
      <c r="H421" s="783"/>
      <c r="I421" s="783"/>
      <c r="J421" s="783"/>
      <c r="K421" s="776"/>
      <c r="L421" s="776"/>
      <c r="M421" s="776"/>
      <c r="N421" s="776"/>
      <c r="O421" s="776"/>
      <c r="P421" s="776"/>
      <c r="Q421" s="783"/>
    </row>
    <row r="422" spans="1:17" s="769" customFormat="1">
      <c r="A422" s="809" t="s">
        <v>767</v>
      </c>
      <c r="B422" s="810" t="s">
        <v>768</v>
      </c>
      <c r="C422" s="804" t="s">
        <v>51</v>
      </c>
      <c r="D422" s="801" t="s">
        <v>31</v>
      </c>
      <c r="E422" s="783">
        <f>NCong!M531</f>
        <v>753117.97769999981</v>
      </c>
      <c r="F422" s="783"/>
      <c r="G422" s="783">
        <f>G413</f>
        <v>15756.390384615384</v>
      </c>
      <c r="H422" s="783">
        <f t="shared" ref="H422:J422" si="602">H413</f>
        <v>31754</v>
      </c>
      <c r="I422" s="783">
        <f t="shared" si="602"/>
        <v>9397.9480357142857</v>
      </c>
      <c r="J422" s="783">
        <f t="shared" si="602"/>
        <v>19023.2847</v>
      </c>
      <c r="K422" s="776">
        <f t="shared" ref="K422:K424" si="603">SUM(E422:J422)</f>
        <v>829049.60082032951</v>
      </c>
      <c r="L422" s="776">
        <f t="shared" ref="L422:L424" si="604">K422*15%</f>
        <v>124357.44012304943</v>
      </c>
      <c r="M422" s="776">
        <f t="shared" ref="M422:M424" si="605">K422+L422</f>
        <v>953407.04094337893</v>
      </c>
      <c r="N422" s="776">
        <f t="shared" ref="N422:N424" si="606">K422-I422</f>
        <v>819651.65278461517</v>
      </c>
      <c r="O422" s="776">
        <f t="shared" ref="O422:O424" si="607">$L$6*N422</f>
        <v>122947.74791769226</v>
      </c>
      <c r="P422" s="776">
        <f t="shared" ref="P422:P424" si="608">N422+O422</f>
        <v>942599.40070230747</v>
      </c>
      <c r="Q422" s="783">
        <f>NCong!P531</f>
        <v>23238.322461538461</v>
      </c>
    </row>
    <row r="423" spans="1:17" s="769" customFormat="1">
      <c r="A423" s="809" t="s">
        <v>767</v>
      </c>
      <c r="B423" s="810" t="s">
        <v>769</v>
      </c>
      <c r="C423" s="804" t="s">
        <v>51</v>
      </c>
      <c r="D423" s="801" t="s">
        <v>31</v>
      </c>
      <c r="E423" s="783">
        <f>NCong!N531</f>
        <v>934413.74234999984</v>
      </c>
      <c r="F423" s="783"/>
      <c r="G423" s="783">
        <f t="shared" ref="G423:J428" si="609">G414</f>
        <v>15756.390384615384</v>
      </c>
      <c r="H423" s="783">
        <f t="shared" si="609"/>
        <v>31754</v>
      </c>
      <c r="I423" s="783">
        <f t="shared" si="609"/>
        <v>9397.9480357142857</v>
      </c>
      <c r="J423" s="783">
        <f t="shared" si="609"/>
        <v>19023.2847</v>
      </c>
      <c r="K423" s="776">
        <f t="shared" si="603"/>
        <v>1010345.3654703295</v>
      </c>
      <c r="L423" s="776">
        <f t="shared" si="604"/>
        <v>151551.80482054941</v>
      </c>
      <c r="M423" s="776">
        <f t="shared" si="605"/>
        <v>1161897.170290879</v>
      </c>
      <c r="N423" s="776">
        <f t="shared" si="606"/>
        <v>1000947.4174346152</v>
      </c>
      <c r="O423" s="776">
        <f t="shared" si="607"/>
        <v>150142.11261519228</v>
      </c>
      <c r="P423" s="776">
        <f t="shared" si="608"/>
        <v>1151089.5300498074</v>
      </c>
      <c r="Q423" s="783">
        <f>NCong!Q531</f>
        <v>28931.075461538458</v>
      </c>
    </row>
    <row r="424" spans="1:17" s="769" customFormat="1">
      <c r="A424" s="809" t="s">
        <v>767</v>
      </c>
      <c r="B424" s="810" t="s">
        <v>770</v>
      </c>
      <c r="C424" s="804" t="s">
        <v>51</v>
      </c>
      <c r="D424" s="801" t="s">
        <v>31</v>
      </c>
      <c r="E424" s="783">
        <f>NCong!O531</f>
        <v>1173922.7577000002</v>
      </c>
      <c r="F424" s="783"/>
      <c r="G424" s="783">
        <f t="shared" si="609"/>
        <v>20483.307499999999</v>
      </c>
      <c r="H424" s="783">
        <f t="shared" si="609"/>
        <v>31754</v>
      </c>
      <c r="I424" s="783">
        <f t="shared" si="609"/>
        <v>12217.332446428572</v>
      </c>
      <c r="J424" s="783">
        <f t="shared" si="609"/>
        <v>24730.270110000001</v>
      </c>
      <c r="K424" s="776">
        <f t="shared" si="603"/>
        <v>1263107.6677564287</v>
      </c>
      <c r="L424" s="776">
        <f t="shared" si="604"/>
        <v>189466.15016346431</v>
      </c>
      <c r="M424" s="776">
        <f t="shared" si="605"/>
        <v>1452573.817919893</v>
      </c>
      <c r="N424" s="776">
        <f t="shared" si="606"/>
        <v>1250890.3353100002</v>
      </c>
      <c r="O424" s="776">
        <f t="shared" si="607"/>
        <v>187633.55029650003</v>
      </c>
      <c r="P424" s="776">
        <f t="shared" si="608"/>
        <v>1438523.8856065003</v>
      </c>
      <c r="Q424" s="783">
        <f>NCong!R531</f>
        <v>36225.688230769221</v>
      </c>
    </row>
    <row r="425" spans="1:17" s="769" customFormat="1">
      <c r="A425" s="771">
        <v>21.2</v>
      </c>
      <c r="B425" s="808" t="s">
        <v>772</v>
      </c>
      <c r="C425" s="804" t="s">
        <v>51</v>
      </c>
      <c r="D425" s="801" t="s">
        <v>31</v>
      </c>
      <c r="E425" s="783"/>
      <c r="F425" s="783"/>
      <c r="G425" s="783"/>
      <c r="H425" s="783"/>
      <c r="I425" s="783"/>
      <c r="J425" s="783"/>
      <c r="K425" s="776"/>
      <c r="L425" s="776"/>
      <c r="M425" s="776"/>
      <c r="N425" s="776"/>
      <c r="O425" s="776"/>
      <c r="P425" s="776"/>
      <c r="Q425" s="783"/>
    </row>
    <row r="426" spans="1:17" s="769" customFormat="1">
      <c r="A426" s="809" t="s">
        <v>767</v>
      </c>
      <c r="B426" s="810" t="s">
        <v>768</v>
      </c>
      <c r="C426" s="804" t="s">
        <v>51</v>
      </c>
      <c r="D426" s="801" t="s">
        <v>31</v>
      </c>
      <c r="E426" s="783">
        <f>E422</f>
        <v>753117.97769999981</v>
      </c>
      <c r="F426" s="783"/>
      <c r="G426" s="783">
        <f t="shared" si="609"/>
        <v>9453.834230769231</v>
      </c>
      <c r="H426" s="783">
        <f t="shared" si="609"/>
        <v>10380.399999999998</v>
      </c>
      <c r="I426" s="783">
        <f t="shared" si="609"/>
        <v>5638.7688214285708</v>
      </c>
      <c r="J426" s="783">
        <f t="shared" si="609"/>
        <v>11413.97082</v>
      </c>
      <c r="K426" s="776">
        <f t="shared" ref="K426:K428" si="610">SUM(E426:J426)</f>
        <v>790004.95157219761</v>
      </c>
      <c r="L426" s="776">
        <f t="shared" ref="L426:L428" si="611">K426*15%</f>
        <v>118500.74273582964</v>
      </c>
      <c r="M426" s="776">
        <f t="shared" ref="M426:M428" si="612">K426+L426</f>
        <v>908505.69430802728</v>
      </c>
      <c r="N426" s="776">
        <f t="shared" ref="N426:N428" si="613">K426-I426</f>
        <v>784366.18275076908</v>
      </c>
      <c r="O426" s="776">
        <f t="shared" ref="O426:O428" si="614">$L$6*N426</f>
        <v>117654.92741261536</v>
      </c>
      <c r="P426" s="776">
        <f t="shared" ref="P426:P428" si="615">N426+O426</f>
        <v>902021.11016338447</v>
      </c>
      <c r="Q426" s="783">
        <f>Q422</f>
        <v>23238.322461538461</v>
      </c>
    </row>
    <row r="427" spans="1:17" s="769" customFormat="1">
      <c r="A427" s="809" t="s">
        <v>767</v>
      </c>
      <c r="B427" s="810" t="s">
        <v>769</v>
      </c>
      <c r="C427" s="804" t="s">
        <v>51</v>
      </c>
      <c r="D427" s="801" t="s">
        <v>31</v>
      </c>
      <c r="E427" s="783">
        <f t="shared" ref="E427:E428" si="616">E423</f>
        <v>934413.74234999984</v>
      </c>
      <c r="F427" s="783"/>
      <c r="G427" s="783">
        <f t="shared" si="609"/>
        <v>9453.834230769231</v>
      </c>
      <c r="H427" s="783">
        <f t="shared" si="609"/>
        <v>10380.399999999998</v>
      </c>
      <c r="I427" s="783">
        <f t="shared" si="609"/>
        <v>5638.7688214285708</v>
      </c>
      <c r="J427" s="783">
        <f t="shared" si="609"/>
        <v>11413.97082</v>
      </c>
      <c r="K427" s="776">
        <f t="shared" si="610"/>
        <v>971300.71622219763</v>
      </c>
      <c r="L427" s="776">
        <f t="shared" si="611"/>
        <v>145695.10743332963</v>
      </c>
      <c r="M427" s="776">
        <f t="shared" si="612"/>
        <v>1116995.8236555273</v>
      </c>
      <c r="N427" s="776">
        <f t="shared" si="613"/>
        <v>965661.9474007691</v>
      </c>
      <c r="O427" s="776">
        <f t="shared" si="614"/>
        <v>144849.29211011535</v>
      </c>
      <c r="P427" s="776">
        <f t="shared" si="615"/>
        <v>1110511.2395108845</v>
      </c>
      <c r="Q427" s="783">
        <f t="shared" ref="Q427:Q428" si="617">Q423</f>
        <v>28931.075461538458</v>
      </c>
    </row>
    <row r="428" spans="1:17" s="769" customFormat="1">
      <c r="A428" s="809" t="s">
        <v>767</v>
      </c>
      <c r="B428" s="810" t="s">
        <v>770</v>
      </c>
      <c r="C428" s="804" t="s">
        <v>51</v>
      </c>
      <c r="D428" s="801" t="s">
        <v>31</v>
      </c>
      <c r="E428" s="783">
        <f t="shared" si="616"/>
        <v>1173922.7577000002</v>
      </c>
      <c r="F428" s="783"/>
      <c r="G428" s="783">
        <f t="shared" si="609"/>
        <v>12289.984499999999</v>
      </c>
      <c r="H428" s="783">
        <f t="shared" si="609"/>
        <v>10380.399999999998</v>
      </c>
      <c r="I428" s="783">
        <f t="shared" si="609"/>
        <v>7330.3994678571435</v>
      </c>
      <c r="J428" s="783">
        <f t="shared" si="609"/>
        <v>14838.162066000001</v>
      </c>
      <c r="K428" s="776">
        <f t="shared" si="610"/>
        <v>1218761.7037338573</v>
      </c>
      <c r="L428" s="776">
        <f t="shared" si="611"/>
        <v>182814.25556007857</v>
      </c>
      <c r="M428" s="776">
        <f t="shared" si="612"/>
        <v>1401575.9592939359</v>
      </c>
      <c r="N428" s="776">
        <f t="shared" si="613"/>
        <v>1211431.3042660002</v>
      </c>
      <c r="O428" s="776">
        <f t="shared" si="614"/>
        <v>181714.69563990002</v>
      </c>
      <c r="P428" s="776">
        <f t="shared" si="615"/>
        <v>1393145.9999059001</v>
      </c>
      <c r="Q428" s="783">
        <f t="shared" si="617"/>
        <v>36225.688230769221</v>
      </c>
    </row>
    <row r="429" spans="1:17" s="769" customFormat="1" ht="14">
      <c r="A429" s="771">
        <v>22</v>
      </c>
      <c r="B429" s="808" t="s">
        <v>274</v>
      </c>
      <c r="C429" s="804" t="s">
        <v>51</v>
      </c>
      <c r="D429" s="801" t="s">
        <v>31</v>
      </c>
      <c r="E429" s="783"/>
      <c r="F429" s="783"/>
      <c r="G429" s="783"/>
      <c r="H429" s="783"/>
      <c r="I429" s="783"/>
      <c r="J429" s="783"/>
      <c r="K429" s="776"/>
      <c r="L429" s="776"/>
      <c r="M429" s="776"/>
      <c r="N429" s="776"/>
      <c r="O429" s="776"/>
      <c r="P429" s="776"/>
      <c r="Q429" s="783"/>
    </row>
    <row r="430" spans="1:17" s="769" customFormat="1">
      <c r="A430" s="771">
        <v>22.1</v>
      </c>
      <c r="B430" s="808" t="s">
        <v>771</v>
      </c>
      <c r="C430" s="804" t="s">
        <v>51</v>
      </c>
      <c r="D430" s="801" t="s">
        <v>31</v>
      </c>
      <c r="E430" s="783"/>
      <c r="F430" s="783"/>
      <c r="G430" s="783"/>
      <c r="H430" s="783"/>
      <c r="I430" s="783"/>
      <c r="J430" s="783"/>
      <c r="K430" s="776"/>
      <c r="L430" s="776"/>
      <c r="M430" s="776"/>
      <c r="N430" s="776"/>
      <c r="O430" s="776"/>
      <c r="P430" s="776"/>
      <c r="Q430" s="783"/>
    </row>
    <row r="431" spans="1:17" s="769" customFormat="1">
      <c r="A431" s="809" t="s">
        <v>767</v>
      </c>
      <c r="B431" s="810" t="s">
        <v>768</v>
      </c>
      <c r="C431" s="804" t="s">
        <v>51</v>
      </c>
      <c r="D431" s="801" t="s">
        <v>31</v>
      </c>
      <c r="E431" s="783">
        <f>NCong!M532</f>
        <v>737952.85409999988</v>
      </c>
      <c r="F431" s="783"/>
      <c r="G431" s="783">
        <f>G422</f>
        <v>15756.390384615384</v>
      </c>
      <c r="H431" s="783">
        <f t="shared" ref="H431:J431" si="618">H422</f>
        <v>31754</v>
      </c>
      <c r="I431" s="783">
        <f t="shared" si="618"/>
        <v>9397.9480357142857</v>
      </c>
      <c r="J431" s="783">
        <f t="shared" si="618"/>
        <v>19023.2847</v>
      </c>
      <c r="K431" s="776">
        <f t="shared" ref="K431:K433" si="619">SUM(E431:J431)</f>
        <v>813884.47722032957</v>
      </c>
      <c r="L431" s="776">
        <f t="shared" ref="L431:L433" si="620">K431*15%</f>
        <v>122082.67158304944</v>
      </c>
      <c r="M431" s="776">
        <f t="shared" ref="M431:M433" si="621">K431+L431</f>
        <v>935967.14880337904</v>
      </c>
      <c r="N431" s="776">
        <f t="shared" ref="N431:N433" si="622">K431-I431</f>
        <v>804486.52918461524</v>
      </c>
      <c r="O431" s="776">
        <f t="shared" ref="O431:O433" si="623">$L$6*N431</f>
        <v>120672.97937769227</v>
      </c>
      <c r="P431" s="776">
        <f t="shared" ref="P431:P433" si="624">N431+O431</f>
        <v>925159.50856230757</v>
      </c>
      <c r="Q431" s="783">
        <f>NCong!P532</f>
        <v>22829.007384615383</v>
      </c>
    </row>
    <row r="432" spans="1:17" s="769" customFormat="1">
      <c r="A432" s="809" t="s">
        <v>767</v>
      </c>
      <c r="B432" s="810" t="s">
        <v>769</v>
      </c>
      <c r="C432" s="804" t="s">
        <v>51</v>
      </c>
      <c r="D432" s="801" t="s">
        <v>31</v>
      </c>
      <c r="E432" s="783">
        <f>NCong!N532</f>
        <v>913475.53192499978</v>
      </c>
      <c r="F432" s="783"/>
      <c r="G432" s="783">
        <f t="shared" ref="G432:J433" si="625">G423</f>
        <v>15756.390384615384</v>
      </c>
      <c r="H432" s="783">
        <f t="shared" si="625"/>
        <v>31754</v>
      </c>
      <c r="I432" s="783">
        <f t="shared" si="625"/>
        <v>9397.9480357142857</v>
      </c>
      <c r="J432" s="783">
        <f t="shared" si="625"/>
        <v>19023.2847</v>
      </c>
      <c r="K432" s="776">
        <f t="shared" si="619"/>
        <v>989407.15504532948</v>
      </c>
      <c r="L432" s="776">
        <f t="shared" si="620"/>
        <v>148411.07325679943</v>
      </c>
      <c r="M432" s="776">
        <f t="shared" si="621"/>
        <v>1137818.2283021288</v>
      </c>
      <c r="N432" s="776">
        <f t="shared" si="622"/>
        <v>980009.20700961514</v>
      </c>
      <c r="O432" s="776">
        <f t="shared" si="623"/>
        <v>147001.38105144227</v>
      </c>
      <c r="P432" s="776">
        <f t="shared" si="624"/>
        <v>1127010.5880610575</v>
      </c>
      <c r="Q432" s="783">
        <f>NCong!Q532</f>
        <v>28365.941576923073</v>
      </c>
    </row>
    <row r="433" spans="1:17" s="769" customFormat="1">
      <c r="A433" s="809" t="s">
        <v>767</v>
      </c>
      <c r="B433" s="810" t="s">
        <v>770</v>
      </c>
      <c r="C433" s="804" t="s">
        <v>51</v>
      </c>
      <c r="D433" s="801" t="s">
        <v>31</v>
      </c>
      <c r="E433" s="783">
        <f>NCong!O532</f>
        <v>1135923.7832250001</v>
      </c>
      <c r="F433" s="783"/>
      <c r="G433" s="783">
        <f t="shared" si="625"/>
        <v>20483.307499999999</v>
      </c>
      <c r="H433" s="783">
        <f t="shared" si="625"/>
        <v>31754</v>
      </c>
      <c r="I433" s="783">
        <f t="shared" si="625"/>
        <v>12217.332446428572</v>
      </c>
      <c r="J433" s="783">
        <f t="shared" si="625"/>
        <v>24730.270110000001</v>
      </c>
      <c r="K433" s="776">
        <f t="shared" si="619"/>
        <v>1225108.6932814287</v>
      </c>
      <c r="L433" s="776">
        <f t="shared" si="620"/>
        <v>183766.30399221429</v>
      </c>
      <c r="M433" s="776">
        <f t="shared" si="621"/>
        <v>1408874.997273643</v>
      </c>
      <c r="N433" s="776">
        <f t="shared" si="622"/>
        <v>1212891.3608350002</v>
      </c>
      <c r="O433" s="776">
        <f t="shared" si="623"/>
        <v>181933.70412525002</v>
      </c>
      <c r="P433" s="776">
        <f t="shared" si="624"/>
        <v>1394825.0649602502</v>
      </c>
      <c r="Q433" s="783">
        <f>NCong!R532</f>
        <v>35200.07488461538</v>
      </c>
    </row>
    <row r="434" spans="1:17" s="769" customFormat="1">
      <c r="A434" s="771">
        <v>22.2</v>
      </c>
      <c r="B434" s="808" t="s">
        <v>772</v>
      </c>
      <c r="C434" s="804" t="s">
        <v>51</v>
      </c>
      <c r="D434" s="801" t="s">
        <v>31</v>
      </c>
      <c r="E434" s="783"/>
      <c r="F434" s="783"/>
      <c r="G434" s="783"/>
      <c r="H434" s="783"/>
      <c r="I434" s="783"/>
      <c r="J434" s="783"/>
      <c r="K434" s="776"/>
      <c r="L434" s="776"/>
      <c r="M434" s="776"/>
      <c r="N434" s="776"/>
      <c r="O434" s="776"/>
      <c r="P434" s="776"/>
      <c r="Q434" s="783"/>
    </row>
    <row r="435" spans="1:17" s="769" customFormat="1">
      <c r="A435" s="809" t="s">
        <v>767</v>
      </c>
      <c r="B435" s="810" t="s">
        <v>768</v>
      </c>
      <c r="C435" s="804" t="s">
        <v>51</v>
      </c>
      <c r="D435" s="801" t="s">
        <v>31</v>
      </c>
      <c r="E435" s="783">
        <f>E431</f>
        <v>737952.85409999988</v>
      </c>
      <c r="F435" s="783"/>
      <c r="G435" s="783">
        <f t="shared" ref="G435:J437" si="626">G426</f>
        <v>9453.834230769231</v>
      </c>
      <c r="H435" s="783">
        <f t="shared" si="626"/>
        <v>10380.399999999998</v>
      </c>
      <c r="I435" s="783">
        <f t="shared" si="626"/>
        <v>5638.7688214285708</v>
      </c>
      <c r="J435" s="783">
        <f t="shared" si="626"/>
        <v>11413.97082</v>
      </c>
      <c r="K435" s="776">
        <f t="shared" ref="K435:K437" si="627">SUM(E435:J435)</f>
        <v>774839.82797219767</v>
      </c>
      <c r="L435" s="776">
        <f t="shared" ref="L435:L437" si="628">K435*15%</f>
        <v>116225.97419582965</v>
      </c>
      <c r="M435" s="776">
        <f t="shared" ref="M435:M437" si="629">K435+L435</f>
        <v>891065.80216802726</v>
      </c>
      <c r="N435" s="776">
        <f t="shared" ref="N435:N437" si="630">K435-I435</f>
        <v>769201.05915076914</v>
      </c>
      <c r="O435" s="776">
        <f t="shared" ref="O435:O437" si="631">$L$6*N435</f>
        <v>115380.15887261537</v>
      </c>
      <c r="P435" s="776">
        <f t="shared" ref="P435:P437" si="632">N435+O435</f>
        <v>884581.21802338446</v>
      </c>
      <c r="Q435" s="783">
        <f>Q431</f>
        <v>22829.007384615383</v>
      </c>
    </row>
    <row r="436" spans="1:17" s="769" customFormat="1">
      <c r="A436" s="809" t="s">
        <v>767</v>
      </c>
      <c r="B436" s="810" t="s">
        <v>769</v>
      </c>
      <c r="C436" s="804" t="s">
        <v>51</v>
      </c>
      <c r="D436" s="801" t="s">
        <v>31</v>
      </c>
      <c r="E436" s="783">
        <f t="shared" ref="E436:E437" si="633">E432</f>
        <v>913475.53192499978</v>
      </c>
      <c r="F436" s="783"/>
      <c r="G436" s="783">
        <f t="shared" si="626"/>
        <v>9453.834230769231</v>
      </c>
      <c r="H436" s="783">
        <f t="shared" si="626"/>
        <v>10380.399999999998</v>
      </c>
      <c r="I436" s="783">
        <f t="shared" si="626"/>
        <v>5638.7688214285708</v>
      </c>
      <c r="J436" s="783">
        <f t="shared" si="626"/>
        <v>11413.97082</v>
      </c>
      <c r="K436" s="776">
        <f t="shared" si="627"/>
        <v>950362.50579719758</v>
      </c>
      <c r="L436" s="776">
        <f t="shared" si="628"/>
        <v>142554.37586957964</v>
      </c>
      <c r="M436" s="776">
        <f t="shared" si="629"/>
        <v>1092916.8816667772</v>
      </c>
      <c r="N436" s="776">
        <f t="shared" si="630"/>
        <v>944723.73697576905</v>
      </c>
      <c r="O436" s="776">
        <f t="shared" si="631"/>
        <v>141708.56054636536</v>
      </c>
      <c r="P436" s="776">
        <f t="shared" si="632"/>
        <v>1086432.2975221344</v>
      </c>
      <c r="Q436" s="783">
        <f t="shared" ref="Q436:Q437" si="634">Q432</f>
        <v>28365.941576923073</v>
      </c>
    </row>
    <row r="437" spans="1:17" s="769" customFormat="1">
      <c r="A437" s="809" t="s">
        <v>767</v>
      </c>
      <c r="B437" s="810" t="s">
        <v>770</v>
      </c>
      <c r="C437" s="804" t="s">
        <v>51</v>
      </c>
      <c r="D437" s="801" t="s">
        <v>31</v>
      </c>
      <c r="E437" s="783">
        <f t="shared" si="633"/>
        <v>1135923.7832250001</v>
      </c>
      <c r="F437" s="783"/>
      <c r="G437" s="783">
        <f t="shared" si="626"/>
        <v>12289.984499999999</v>
      </c>
      <c r="H437" s="783">
        <f t="shared" si="626"/>
        <v>10380.399999999998</v>
      </c>
      <c r="I437" s="783">
        <f t="shared" si="626"/>
        <v>7330.3994678571435</v>
      </c>
      <c r="J437" s="783">
        <f t="shared" si="626"/>
        <v>14838.162066000001</v>
      </c>
      <c r="K437" s="776">
        <f t="shared" si="627"/>
        <v>1180762.7292588572</v>
      </c>
      <c r="L437" s="776">
        <f t="shared" si="628"/>
        <v>177114.40938882859</v>
      </c>
      <c r="M437" s="776">
        <f t="shared" si="629"/>
        <v>1357877.1386476858</v>
      </c>
      <c r="N437" s="776">
        <f t="shared" si="630"/>
        <v>1173432.3297910001</v>
      </c>
      <c r="O437" s="776">
        <f t="shared" si="631"/>
        <v>176014.84946865001</v>
      </c>
      <c r="P437" s="776">
        <f t="shared" si="632"/>
        <v>1349447.1792596502</v>
      </c>
      <c r="Q437" s="783">
        <f t="shared" si="634"/>
        <v>35200.07488461538</v>
      </c>
    </row>
    <row r="438" spans="1:17" s="769" customFormat="1" ht="28">
      <c r="A438" s="771">
        <v>23</v>
      </c>
      <c r="B438" s="808" t="s">
        <v>276</v>
      </c>
      <c r="C438" s="804" t="s">
        <v>51</v>
      </c>
      <c r="D438" s="801" t="s">
        <v>31</v>
      </c>
      <c r="E438" s="783"/>
      <c r="F438" s="783"/>
      <c r="G438" s="783"/>
      <c r="H438" s="783"/>
      <c r="I438" s="783"/>
      <c r="J438" s="783"/>
      <c r="K438" s="776"/>
      <c r="L438" s="776"/>
      <c r="M438" s="776"/>
      <c r="N438" s="776"/>
      <c r="O438" s="776"/>
      <c r="P438" s="776"/>
      <c r="Q438" s="783"/>
    </row>
    <row r="439" spans="1:17" s="769" customFormat="1">
      <c r="A439" s="771">
        <v>23.1</v>
      </c>
      <c r="B439" s="808" t="s">
        <v>771</v>
      </c>
      <c r="C439" s="804" t="s">
        <v>51</v>
      </c>
      <c r="D439" s="801" t="s">
        <v>31</v>
      </c>
      <c r="E439" s="783"/>
      <c r="F439" s="783"/>
      <c r="G439" s="783"/>
      <c r="H439" s="783"/>
      <c r="I439" s="783"/>
      <c r="J439" s="783"/>
      <c r="K439" s="776"/>
      <c r="L439" s="776"/>
      <c r="M439" s="776"/>
      <c r="N439" s="776"/>
      <c r="O439" s="776"/>
      <c r="P439" s="776"/>
      <c r="Q439" s="783"/>
    </row>
    <row r="440" spans="1:17" s="769" customFormat="1">
      <c r="A440" s="809" t="s">
        <v>767</v>
      </c>
      <c r="B440" s="810" t="s">
        <v>768</v>
      </c>
      <c r="C440" s="804" t="s">
        <v>51</v>
      </c>
      <c r="D440" s="801" t="s">
        <v>31</v>
      </c>
      <c r="E440" s="783">
        <f>NCong!M533</f>
        <v>742077.26009999984</v>
      </c>
      <c r="F440" s="783"/>
      <c r="G440" s="783">
        <f>G431</f>
        <v>15756.390384615384</v>
      </c>
      <c r="H440" s="783">
        <f t="shared" ref="H440:J440" si="635">H431</f>
        <v>31754</v>
      </c>
      <c r="I440" s="783">
        <f t="shared" si="635"/>
        <v>9397.9480357142857</v>
      </c>
      <c r="J440" s="783">
        <f t="shared" si="635"/>
        <v>19023.2847</v>
      </c>
      <c r="K440" s="776">
        <f t="shared" ref="K440:K446" si="636">SUM(E440:J440)</f>
        <v>818008.88322032953</v>
      </c>
      <c r="L440" s="776">
        <f t="shared" ref="L440:L446" si="637">K440*15%</f>
        <v>122701.33248304942</v>
      </c>
      <c r="M440" s="776">
        <f t="shared" ref="M440:M446" si="638">K440+L440</f>
        <v>940710.2157033789</v>
      </c>
      <c r="N440" s="776">
        <f t="shared" ref="N440:N446" si="639">K440-I440</f>
        <v>808610.9351846152</v>
      </c>
      <c r="O440" s="776">
        <f t="shared" ref="O440:O446" si="640">$L$6*N440</f>
        <v>121291.64027769228</v>
      </c>
      <c r="P440" s="776">
        <f t="shared" ref="P440:P446" si="641">N440+O440</f>
        <v>929902.57546230743</v>
      </c>
      <c r="Q440" s="783">
        <f>NCong!P533</f>
        <v>22940.327384615382</v>
      </c>
    </row>
    <row r="441" spans="1:17" s="769" customFormat="1">
      <c r="A441" s="809" t="s">
        <v>767</v>
      </c>
      <c r="B441" s="810" t="s">
        <v>769</v>
      </c>
      <c r="C441" s="804" t="s">
        <v>51</v>
      </c>
      <c r="D441" s="801" t="s">
        <v>31</v>
      </c>
      <c r="E441" s="783">
        <f>NCong!N533</f>
        <v>919170.02429999982</v>
      </c>
      <c r="F441" s="783"/>
      <c r="G441" s="783">
        <f t="shared" ref="G441:J442" si="642">G432</f>
        <v>15756.390384615384</v>
      </c>
      <c r="H441" s="783">
        <f t="shared" si="642"/>
        <v>31754</v>
      </c>
      <c r="I441" s="783">
        <f t="shared" si="642"/>
        <v>9397.9480357142857</v>
      </c>
      <c r="J441" s="783">
        <f t="shared" si="642"/>
        <v>19023.2847</v>
      </c>
      <c r="K441" s="776">
        <f t="shared" si="636"/>
        <v>995101.64742032951</v>
      </c>
      <c r="L441" s="776">
        <f t="shared" si="637"/>
        <v>149265.24711304941</v>
      </c>
      <c r="M441" s="776">
        <f t="shared" si="638"/>
        <v>1144366.894533379</v>
      </c>
      <c r="N441" s="776">
        <f t="shared" si="639"/>
        <v>985703.69938461517</v>
      </c>
      <c r="O441" s="776">
        <f t="shared" si="640"/>
        <v>147855.55490769228</v>
      </c>
      <c r="P441" s="776">
        <f t="shared" si="641"/>
        <v>1133559.2542923074</v>
      </c>
      <c r="Q441" s="783">
        <f>NCong!Q533</f>
        <v>28519.639076923071</v>
      </c>
    </row>
    <row r="442" spans="1:17" s="769" customFormat="1">
      <c r="A442" s="809" t="s">
        <v>767</v>
      </c>
      <c r="B442" s="810" t="s">
        <v>770</v>
      </c>
      <c r="C442" s="804" t="s">
        <v>51</v>
      </c>
      <c r="D442" s="801" t="s">
        <v>31</v>
      </c>
      <c r="E442" s="783">
        <f>NCong!O533</f>
        <v>1146258.2323500002</v>
      </c>
      <c r="F442" s="783"/>
      <c r="G442" s="783">
        <f t="shared" si="642"/>
        <v>20483.307499999999</v>
      </c>
      <c r="H442" s="783">
        <f t="shared" si="642"/>
        <v>31754</v>
      </c>
      <c r="I442" s="783">
        <f t="shared" si="642"/>
        <v>12217.332446428572</v>
      </c>
      <c r="J442" s="783">
        <f t="shared" si="642"/>
        <v>24730.270110000001</v>
      </c>
      <c r="K442" s="776">
        <f t="shared" si="636"/>
        <v>1235443.1424064287</v>
      </c>
      <c r="L442" s="776">
        <f t="shared" si="637"/>
        <v>185316.47136096429</v>
      </c>
      <c r="M442" s="776">
        <f t="shared" si="638"/>
        <v>1420759.6137673929</v>
      </c>
      <c r="N442" s="776">
        <f t="shared" si="639"/>
        <v>1223225.8099600002</v>
      </c>
      <c r="O442" s="776">
        <f t="shared" si="640"/>
        <v>183483.87149400002</v>
      </c>
      <c r="P442" s="776">
        <f t="shared" si="641"/>
        <v>1406709.6814540003</v>
      </c>
      <c r="Q442" s="783">
        <f>NCong!R533</f>
        <v>35479.007384615375</v>
      </c>
    </row>
    <row r="443" spans="1:17" s="769" customFormat="1">
      <c r="A443" s="771">
        <v>23.2</v>
      </c>
      <c r="B443" s="808" t="s">
        <v>772</v>
      </c>
      <c r="C443" s="804" t="s">
        <v>51</v>
      </c>
      <c r="D443" s="801" t="s">
        <v>31</v>
      </c>
      <c r="E443" s="783"/>
      <c r="F443" s="783"/>
      <c r="G443" s="783"/>
      <c r="H443" s="783"/>
      <c r="I443" s="783"/>
      <c r="J443" s="783"/>
      <c r="K443" s="776"/>
      <c r="L443" s="776"/>
      <c r="M443" s="776"/>
      <c r="N443" s="776"/>
      <c r="O443" s="776"/>
      <c r="P443" s="776"/>
      <c r="Q443" s="783"/>
    </row>
    <row r="444" spans="1:17" s="769" customFormat="1">
      <c r="A444" s="809" t="s">
        <v>767</v>
      </c>
      <c r="B444" s="810" t="s">
        <v>768</v>
      </c>
      <c r="C444" s="804" t="s">
        <v>51</v>
      </c>
      <c r="D444" s="801" t="s">
        <v>31</v>
      </c>
      <c r="E444" s="783">
        <f>E440</f>
        <v>742077.26009999984</v>
      </c>
      <c r="F444" s="783"/>
      <c r="G444" s="783">
        <f t="shared" ref="G444:J446" si="643">G435</f>
        <v>9453.834230769231</v>
      </c>
      <c r="H444" s="783">
        <f t="shared" si="643"/>
        <v>10380.399999999998</v>
      </c>
      <c r="I444" s="783">
        <f t="shared" si="643"/>
        <v>5638.7688214285708</v>
      </c>
      <c r="J444" s="783">
        <f t="shared" si="643"/>
        <v>11413.97082</v>
      </c>
      <c r="K444" s="776">
        <f t="shared" si="636"/>
        <v>778964.23397219763</v>
      </c>
      <c r="L444" s="776">
        <f t="shared" si="637"/>
        <v>116844.63509582964</v>
      </c>
      <c r="M444" s="776">
        <f t="shared" si="638"/>
        <v>895808.86906802724</v>
      </c>
      <c r="N444" s="776">
        <f t="shared" si="639"/>
        <v>773325.4651507691</v>
      </c>
      <c r="O444" s="776">
        <f t="shared" si="640"/>
        <v>115998.81977261536</v>
      </c>
      <c r="P444" s="776">
        <f t="shared" si="641"/>
        <v>889324.28492338443</v>
      </c>
      <c r="Q444" s="783">
        <f>Q440</f>
        <v>22940.327384615382</v>
      </c>
    </row>
    <row r="445" spans="1:17" s="769" customFormat="1">
      <c r="A445" s="809" t="s">
        <v>767</v>
      </c>
      <c r="B445" s="810" t="s">
        <v>769</v>
      </c>
      <c r="C445" s="804" t="s">
        <v>51</v>
      </c>
      <c r="D445" s="801" t="s">
        <v>31</v>
      </c>
      <c r="E445" s="783">
        <f t="shared" ref="E445:E446" si="644">E441</f>
        <v>919170.02429999982</v>
      </c>
      <c r="F445" s="783"/>
      <c r="G445" s="783">
        <f t="shared" si="643"/>
        <v>9453.834230769231</v>
      </c>
      <c r="H445" s="783">
        <f t="shared" si="643"/>
        <v>10380.399999999998</v>
      </c>
      <c r="I445" s="783">
        <f t="shared" si="643"/>
        <v>5638.7688214285708</v>
      </c>
      <c r="J445" s="783">
        <f t="shared" si="643"/>
        <v>11413.97082</v>
      </c>
      <c r="K445" s="776">
        <f t="shared" si="636"/>
        <v>956056.99817219761</v>
      </c>
      <c r="L445" s="776">
        <f t="shared" si="637"/>
        <v>143408.54972582962</v>
      </c>
      <c r="M445" s="776">
        <f t="shared" si="638"/>
        <v>1099465.5478980271</v>
      </c>
      <c r="N445" s="776">
        <f t="shared" si="639"/>
        <v>950418.22935076908</v>
      </c>
      <c r="O445" s="776">
        <f t="shared" si="640"/>
        <v>142562.73440261534</v>
      </c>
      <c r="P445" s="776">
        <f t="shared" si="641"/>
        <v>1092980.9637533845</v>
      </c>
      <c r="Q445" s="783">
        <f t="shared" ref="Q445:Q446" si="645">Q441</f>
        <v>28519.639076923071</v>
      </c>
    </row>
    <row r="446" spans="1:17" s="769" customFormat="1">
      <c r="A446" s="809" t="s">
        <v>767</v>
      </c>
      <c r="B446" s="810" t="s">
        <v>770</v>
      </c>
      <c r="C446" s="804" t="s">
        <v>51</v>
      </c>
      <c r="D446" s="801" t="s">
        <v>31</v>
      </c>
      <c r="E446" s="783">
        <f t="shared" si="644"/>
        <v>1146258.2323500002</v>
      </c>
      <c r="F446" s="783"/>
      <c r="G446" s="783">
        <f t="shared" si="643"/>
        <v>12289.984499999999</v>
      </c>
      <c r="H446" s="783">
        <f t="shared" si="643"/>
        <v>10380.399999999998</v>
      </c>
      <c r="I446" s="783">
        <f t="shared" si="643"/>
        <v>7330.3994678571435</v>
      </c>
      <c r="J446" s="783">
        <f t="shared" si="643"/>
        <v>14838.162066000001</v>
      </c>
      <c r="K446" s="776">
        <f t="shared" si="636"/>
        <v>1191097.1783838572</v>
      </c>
      <c r="L446" s="776">
        <f t="shared" si="637"/>
        <v>178664.57675757859</v>
      </c>
      <c r="M446" s="776">
        <f t="shared" si="638"/>
        <v>1369761.7551414359</v>
      </c>
      <c r="N446" s="776">
        <f t="shared" si="639"/>
        <v>1183766.7789160002</v>
      </c>
      <c r="O446" s="776">
        <f t="shared" si="640"/>
        <v>177565.01683740001</v>
      </c>
      <c r="P446" s="776">
        <f t="shared" si="641"/>
        <v>1361331.7957534001</v>
      </c>
      <c r="Q446" s="783">
        <f t="shared" si="645"/>
        <v>35479.007384615375</v>
      </c>
    </row>
    <row r="447" spans="1:17" s="769" customFormat="1" ht="14">
      <c r="A447" s="771">
        <v>24</v>
      </c>
      <c r="B447" s="808" t="s">
        <v>278</v>
      </c>
      <c r="C447" s="804" t="s">
        <v>51</v>
      </c>
      <c r="D447" s="801" t="s">
        <v>31</v>
      </c>
      <c r="E447" s="783"/>
      <c r="F447" s="783"/>
      <c r="G447" s="783"/>
      <c r="H447" s="783"/>
      <c r="I447" s="783"/>
      <c r="J447" s="783"/>
      <c r="K447" s="776"/>
      <c r="L447" s="776"/>
      <c r="M447" s="776"/>
      <c r="N447" s="776"/>
      <c r="O447" s="776"/>
      <c r="P447" s="776"/>
      <c r="Q447" s="783"/>
    </row>
    <row r="448" spans="1:17" s="769" customFormat="1">
      <c r="A448" s="771">
        <v>24.1</v>
      </c>
      <c r="B448" s="808" t="s">
        <v>771</v>
      </c>
      <c r="C448" s="804" t="s">
        <v>51</v>
      </c>
      <c r="D448" s="801" t="s">
        <v>31</v>
      </c>
      <c r="E448" s="783"/>
      <c r="F448" s="783"/>
      <c r="G448" s="783"/>
      <c r="H448" s="783"/>
      <c r="I448" s="783"/>
      <c r="J448" s="783"/>
      <c r="K448" s="776"/>
      <c r="L448" s="776"/>
      <c r="M448" s="776"/>
      <c r="N448" s="776"/>
      <c r="O448" s="776"/>
      <c r="P448" s="776"/>
      <c r="Q448" s="783"/>
    </row>
    <row r="449" spans="1:17" s="769" customFormat="1">
      <c r="A449" s="809" t="s">
        <v>767</v>
      </c>
      <c r="B449" s="810" t="s">
        <v>768</v>
      </c>
      <c r="C449" s="804" t="s">
        <v>51</v>
      </c>
      <c r="D449" s="801" t="s">
        <v>31</v>
      </c>
      <c r="E449" s="783">
        <f>NCong!M534</f>
        <v>758638.33649999986</v>
      </c>
      <c r="F449" s="783"/>
      <c r="G449" s="783">
        <f>G440</f>
        <v>15756.390384615384</v>
      </c>
      <c r="H449" s="783">
        <f t="shared" ref="H449:J449" si="646">H440</f>
        <v>31754</v>
      </c>
      <c r="I449" s="783">
        <f t="shared" si="646"/>
        <v>9397.9480357142857</v>
      </c>
      <c r="J449" s="783">
        <f t="shared" si="646"/>
        <v>19023.2847</v>
      </c>
      <c r="K449" s="776">
        <f t="shared" ref="K449:K451" si="647">SUM(E449:J449)</f>
        <v>834569.95962032955</v>
      </c>
      <c r="L449" s="776">
        <f t="shared" ref="L449:L451" si="648">K449*15%</f>
        <v>125185.49394304943</v>
      </c>
      <c r="M449" s="776">
        <f t="shared" ref="M449:M451" si="649">K449+L449</f>
        <v>959755.45356337901</v>
      </c>
      <c r="N449" s="776">
        <f t="shared" ref="N449:N451" si="650">K449-I449</f>
        <v>825172.01158461522</v>
      </c>
      <c r="O449" s="776">
        <f t="shared" ref="O449:O451" si="651">$L$6*N449</f>
        <v>123775.80173769228</v>
      </c>
      <c r="P449" s="776">
        <f t="shared" ref="P449:P451" si="652">N449+O449</f>
        <v>948947.81332230754</v>
      </c>
      <c r="Q449" s="783">
        <f>NCong!P534</f>
        <v>23387.319999999996</v>
      </c>
    </row>
    <row r="450" spans="1:17" s="769" customFormat="1">
      <c r="A450" s="809" t="s">
        <v>767</v>
      </c>
      <c r="B450" s="810" t="s">
        <v>769</v>
      </c>
      <c r="C450" s="804" t="s">
        <v>51</v>
      </c>
      <c r="D450" s="801" t="s">
        <v>31</v>
      </c>
      <c r="E450" s="783">
        <f>NCong!N534</f>
        <v>942035.60137499985</v>
      </c>
      <c r="F450" s="783"/>
      <c r="G450" s="783">
        <f t="shared" ref="G450:J455" si="653">G441</f>
        <v>15756.390384615384</v>
      </c>
      <c r="H450" s="783">
        <f t="shared" si="653"/>
        <v>31754</v>
      </c>
      <c r="I450" s="783">
        <f t="shared" si="653"/>
        <v>9397.9480357142857</v>
      </c>
      <c r="J450" s="783">
        <f t="shared" si="653"/>
        <v>19023.2847</v>
      </c>
      <c r="K450" s="776">
        <f t="shared" si="647"/>
        <v>1017967.2244953295</v>
      </c>
      <c r="L450" s="776">
        <f t="shared" si="648"/>
        <v>152695.08367429941</v>
      </c>
      <c r="M450" s="776">
        <f t="shared" si="649"/>
        <v>1170662.308169629</v>
      </c>
      <c r="N450" s="776">
        <f t="shared" si="650"/>
        <v>1008569.2764596152</v>
      </c>
      <c r="O450" s="776">
        <f t="shared" si="651"/>
        <v>151285.39146894228</v>
      </c>
      <c r="P450" s="776">
        <f t="shared" si="652"/>
        <v>1159854.6679285574</v>
      </c>
      <c r="Q450" s="783">
        <f>NCong!Q534</f>
        <v>29136.793653846151</v>
      </c>
    </row>
    <row r="451" spans="1:17" s="769" customFormat="1">
      <c r="A451" s="809" t="s">
        <v>767</v>
      </c>
      <c r="B451" s="810" t="s">
        <v>770</v>
      </c>
      <c r="C451" s="804" t="s">
        <v>51</v>
      </c>
      <c r="D451" s="801" t="s">
        <v>31</v>
      </c>
      <c r="E451" s="783">
        <f>NCong!O534</f>
        <v>1187755.0203750001</v>
      </c>
      <c r="F451" s="783"/>
      <c r="G451" s="783">
        <f t="shared" si="653"/>
        <v>20483.307499999999</v>
      </c>
      <c r="H451" s="783">
        <f t="shared" si="653"/>
        <v>31754</v>
      </c>
      <c r="I451" s="783">
        <f t="shared" si="653"/>
        <v>12217.332446428572</v>
      </c>
      <c r="J451" s="783">
        <f t="shared" si="653"/>
        <v>24730.270110000001</v>
      </c>
      <c r="K451" s="776">
        <f t="shared" si="647"/>
        <v>1276939.9304314286</v>
      </c>
      <c r="L451" s="776">
        <f t="shared" si="648"/>
        <v>191540.98956471428</v>
      </c>
      <c r="M451" s="776">
        <f t="shared" si="649"/>
        <v>1468480.9199961429</v>
      </c>
      <c r="N451" s="776">
        <f t="shared" si="650"/>
        <v>1264722.5979850001</v>
      </c>
      <c r="O451" s="776">
        <f t="shared" si="651"/>
        <v>189708.38969775001</v>
      </c>
      <c r="P451" s="776">
        <f t="shared" si="652"/>
        <v>1454430.9876827502</v>
      </c>
      <c r="Q451" s="783">
        <f>NCong!R534</f>
        <v>36599.028653846144</v>
      </c>
    </row>
    <row r="452" spans="1:17" s="769" customFormat="1">
      <c r="A452" s="771">
        <v>24.2</v>
      </c>
      <c r="B452" s="808" t="s">
        <v>772</v>
      </c>
      <c r="C452" s="804" t="s">
        <v>51</v>
      </c>
      <c r="D452" s="801" t="s">
        <v>31</v>
      </c>
      <c r="E452" s="783"/>
      <c r="F452" s="783"/>
      <c r="G452" s="783"/>
      <c r="H452" s="783"/>
      <c r="I452" s="783"/>
      <c r="J452" s="783"/>
      <c r="K452" s="776"/>
      <c r="L452" s="776"/>
      <c r="M452" s="776"/>
      <c r="N452" s="776"/>
      <c r="O452" s="776"/>
      <c r="P452" s="776"/>
      <c r="Q452" s="783"/>
    </row>
    <row r="453" spans="1:17" s="769" customFormat="1">
      <c r="A453" s="809" t="s">
        <v>767</v>
      </c>
      <c r="B453" s="810" t="s">
        <v>768</v>
      </c>
      <c r="C453" s="804" t="s">
        <v>51</v>
      </c>
      <c r="D453" s="801" t="s">
        <v>31</v>
      </c>
      <c r="E453" s="783">
        <f>E449</f>
        <v>758638.33649999986</v>
      </c>
      <c r="F453" s="783"/>
      <c r="G453" s="783">
        <f t="shared" si="653"/>
        <v>9453.834230769231</v>
      </c>
      <c r="H453" s="783">
        <f t="shared" si="653"/>
        <v>10380.399999999998</v>
      </c>
      <c r="I453" s="783">
        <f t="shared" si="653"/>
        <v>5638.7688214285708</v>
      </c>
      <c r="J453" s="783">
        <f t="shared" si="653"/>
        <v>11413.97082</v>
      </c>
      <c r="K453" s="776">
        <f t="shared" ref="K453:K455" si="654">SUM(E453:J453)</f>
        <v>795525.31037219765</v>
      </c>
      <c r="L453" s="776">
        <f t="shared" ref="L453:L455" si="655">K453*15%</f>
        <v>119328.79655582964</v>
      </c>
      <c r="M453" s="776">
        <f t="shared" ref="M453:M455" si="656">K453+L453</f>
        <v>914854.10692802723</v>
      </c>
      <c r="N453" s="776">
        <f t="shared" ref="N453:N455" si="657">K453-I453</f>
        <v>789886.54155076912</v>
      </c>
      <c r="O453" s="776">
        <f t="shared" ref="O453:O455" si="658">$L$6*N453</f>
        <v>118482.98123261536</v>
      </c>
      <c r="P453" s="776">
        <f t="shared" ref="P453:P455" si="659">N453+O453</f>
        <v>908369.52278338443</v>
      </c>
      <c r="Q453" s="783">
        <f>Q449</f>
        <v>23387.319999999996</v>
      </c>
    </row>
    <row r="454" spans="1:17" s="769" customFormat="1">
      <c r="A454" s="809" t="s">
        <v>767</v>
      </c>
      <c r="B454" s="810" t="s">
        <v>769</v>
      </c>
      <c r="C454" s="804" t="s">
        <v>51</v>
      </c>
      <c r="D454" s="801" t="s">
        <v>31</v>
      </c>
      <c r="E454" s="783">
        <f t="shared" ref="E454:E455" si="660">E450</f>
        <v>942035.60137499985</v>
      </c>
      <c r="F454" s="783"/>
      <c r="G454" s="783">
        <f t="shared" si="653"/>
        <v>9453.834230769231</v>
      </c>
      <c r="H454" s="783">
        <f t="shared" si="653"/>
        <v>10380.399999999998</v>
      </c>
      <c r="I454" s="783">
        <f t="shared" si="653"/>
        <v>5638.7688214285708</v>
      </c>
      <c r="J454" s="783">
        <f t="shared" si="653"/>
        <v>11413.97082</v>
      </c>
      <c r="K454" s="776">
        <f t="shared" si="654"/>
        <v>978922.57524719764</v>
      </c>
      <c r="L454" s="776">
        <f t="shared" si="655"/>
        <v>146838.38628707963</v>
      </c>
      <c r="M454" s="776">
        <f t="shared" si="656"/>
        <v>1125760.9615342773</v>
      </c>
      <c r="N454" s="776">
        <f t="shared" si="657"/>
        <v>973283.80642576911</v>
      </c>
      <c r="O454" s="776">
        <f t="shared" si="658"/>
        <v>145992.57096386535</v>
      </c>
      <c r="P454" s="776">
        <f t="shared" si="659"/>
        <v>1119276.3773896345</v>
      </c>
      <c r="Q454" s="783">
        <f t="shared" ref="Q454:Q455" si="661">Q450</f>
        <v>29136.793653846151</v>
      </c>
    </row>
    <row r="455" spans="1:17" s="769" customFormat="1">
      <c r="A455" s="809" t="s">
        <v>767</v>
      </c>
      <c r="B455" s="810" t="s">
        <v>770</v>
      </c>
      <c r="C455" s="804" t="s">
        <v>51</v>
      </c>
      <c r="D455" s="801" t="s">
        <v>31</v>
      </c>
      <c r="E455" s="783">
        <f t="shared" si="660"/>
        <v>1187755.0203750001</v>
      </c>
      <c r="F455" s="783"/>
      <c r="G455" s="783">
        <f t="shared" si="653"/>
        <v>12289.984499999999</v>
      </c>
      <c r="H455" s="783">
        <f t="shared" si="653"/>
        <v>10380.399999999998</v>
      </c>
      <c r="I455" s="783">
        <f t="shared" si="653"/>
        <v>7330.3994678571435</v>
      </c>
      <c r="J455" s="783">
        <f t="shared" si="653"/>
        <v>14838.162066000001</v>
      </c>
      <c r="K455" s="776">
        <f t="shared" si="654"/>
        <v>1232593.9664088571</v>
      </c>
      <c r="L455" s="776">
        <f t="shared" si="655"/>
        <v>184889.09496132858</v>
      </c>
      <c r="M455" s="776">
        <f t="shared" si="656"/>
        <v>1417483.0613701858</v>
      </c>
      <c r="N455" s="776">
        <f t="shared" si="657"/>
        <v>1225263.5669410001</v>
      </c>
      <c r="O455" s="776">
        <f t="shared" si="658"/>
        <v>183789.53504115</v>
      </c>
      <c r="P455" s="776">
        <f t="shared" si="659"/>
        <v>1409053.10198215</v>
      </c>
      <c r="Q455" s="783">
        <f t="shared" si="661"/>
        <v>36599.028653846144</v>
      </c>
    </row>
    <row r="456" spans="1:17" s="769" customFormat="1" ht="14">
      <c r="A456" s="771">
        <v>25</v>
      </c>
      <c r="B456" s="808" t="s">
        <v>280</v>
      </c>
      <c r="C456" s="804" t="s">
        <v>51</v>
      </c>
      <c r="D456" s="801" t="s">
        <v>31</v>
      </c>
      <c r="E456" s="783"/>
      <c r="F456" s="783"/>
      <c r="G456" s="783"/>
      <c r="H456" s="783"/>
      <c r="I456" s="783"/>
      <c r="J456" s="783"/>
      <c r="K456" s="776"/>
      <c r="L456" s="776"/>
      <c r="M456" s="776"/>
      <c r="N456" s="776"/>
      <c r="O456" s="776"/>
      <c r="P456" s="776"/>
      <c r="Q456" s="783"/>
    </row>
    <row r="457" spans="1:17" s="769" customFormat="1">
      <c r="A457" s="771">
        <v>25.1</v>
      </c>
      <c r="B457" s="808" t="s">
        <v>771</v>
      </c>
      <c r="C457" s="804" t="s">
        <v>51</v>
      </c>
      <c r="D457" s="801" t="s">
        <v>31</v>
      </c>
      <c r="E457" s="783"/>
      <c r="F457" s="783"/>
      <c r="G457" s="783"/>
      <c r="H457" s="783"/>
      <c r="I457" s="783"/>
      <c r="J457" s="783"/>
      <c r="K457" s="776"/>
      <c r="L457" s="776"/>
      <c r="M457" s="776"/>
      <c r="N457" s="776"/>
      <c r="O457" s="776"/>
      <c r="P457" s="776"/>
      <c r="Q457" s="783"/>
    </row>
    <row r="458" spans="1:17" s="769" customFormat="1">
      <c r="A458" s="809" t="s">
        <v>767</v>
      </c>
      <c r="B458" s="810" t="s">
        <v>768</v>
      </c>
      <c r="C458" s="804" t="s">
        <v>51</v>
      </c>
      <c r="D458" s="801" t="s">
        <v>31</v>
      </c>
      <c r="E458" s="783">
        <f>NCong!M535</f>
        <v>742775.23649999988</v>
      </c>
      <c r="F458" s="783"/>
      <c r="G458" s="783">
        <f>G449</f>
        <v>15756.390384615384</v>
      </c>
      <c r="H458" s="783">
        <f t="shared" ref="H458:J458" si="662">H449</f>
        <v>31754</v>
      </c>
      <c r="I458" s="783">
        <f t="shared" si="662"/>
        <v>9397.9480357142857</v>
      </c>
      <c r="J458" s="783">
        <f t="shared" si="662"/>
        <v>19023.2847</v>
      </c>
      <c r="K458" s="776">
        <f t="shared" ref="K458:K460" si="663">SUM(E458:J458)</f>
        <v>818706.85962032957</v>
      </c>
      <c r="L458" s="776">
        <f t="shared" ref="L458:L460" si="664">K458*15%</f>
        <v>122806.02894304943</v>
      </c>
      <c r="M458" s="776">
        <f t="shared" ref="M458:M460" si="665">K458+L458</f>
        <v>941512.88856337895</v>
      </c>
      <c r="N458" s="776">
        <f t="shared" ref="N458:N460" si="666">K458-I458</f>
        <v>809308.91158461524</v>
      </c>
      <c r="O458" s="776">
        <f t="shared" ref="O458:O460" si="667">$L$6*N458</f>
        <v>121396.33673769228</v>
      </c>
      <c r="P458" s="776">
        <f t="shared" ref="P458:P460" si="668">N458+O458</f>
        <v>930705.24832230748</v>
      </c>
      <c r="Q458" s="783">
        <f>NCong!P535</f>
        <v>22959.166153846152</v>
      </c>
    </row>
    <row r="459" spans="1:17" s="769" customFormat="1">
      <c r="A459" s="809" t="s">
        <v>767</v>
      </c>
      <c r="B459" s="810" t="s">
        <v>769</v>
      </c>
      <c r="C459" s="804" t="s">
        <v>51</v>
      </c>
      <c r="D459" s="801" t="s">
        <v>31</v>
      </c>
      <c r="E459" s="783">
        <f>NCong!N535</f>
        <v>920133.70762499981</v>
      </c>
      <c r="F459" s="783"/>
      <c r="G459" s="783">
        <f t="shared" ref="G459:J460" si="669">G450</f>
        <v>15756.390384615384</v>
      </c>
      <c r="H459" s="783">
        <f t="shared" si="669"/>
        <v>31754</v>
      </c>
      <c r="I459" s="783">
        <f t="shared" si="669"/>
        <v>9397.9480357142857</v>
      </c>
      <c r="J459" s="783">
        <f t="shared" si="669"/>
        <v>19023.2847</v>
      </c>
      <c r="K459" s="776">
        <f t="shared" si="663"/>
        <v>996065.3307453295</v>
      </c>
      <c r="L459" s="776">
        <f t="shared" si="664"/>
        <v>149409.79961179942</v>
      </c>
      <c r="M459" s="776">
        <f t="shared" si="665"/>
        <v>1145475.130357129</v>
      </c>
      <c r="N459" s="776">
        <f t="shared" si="666"/>
        <v>986667.38270961517</v>
      </c>
      <c r="O459" s="776">
        <f t="shared" si="667"/>
        <v>148000.10740644226</v>
      </c>
      <c r="P459" s="776">
        <f t="shared" si="668"/>
        <v>1134667.4901160575</v>
      </c>
      <c r="Q459" s="783">
        <f>NCong!Q535</f>
        <v>28545.64942307692</v>
      </c>
    </row>
    <row r="460" spans="1:17" s="769" customFormat="1">
      <c r="A460" s="809" t="s">
        <v>767</v>
      </c>
      <c r="B460" s="810" t="s">
        <v>770</v>
      </c>
      <c r="C460" s="804" t="s">
        <v>51</v>
      </c>
      <c r="D460" s="801" t="s">
        <v>31</v>
      </c>
      <c r="E460" s="783">
        <f>NCong!O535</f>
        <v>1148007.139125</v>
      </c>
      <c r="F460" s="783"/>
      <c r="G460" s="783">
        <f t="shared" si="669"/>
        <v>20483.307499999999</v>
      </c>
      <c r="H460" s="783">
        <f t="shared" si="669"/>
        <v>31754</v>
      </c>
      <c r="I460" s="783">
        <f t="shared" si="669"/>
        <v>12217.332446428572</v>
      </c>
      <c r="J460" s="783">
        <f t="shared" si="669"/>
        <v>24730.270110000001</v>
      </c>
      <c r="K460" s="776">
        <f t="shared" si="663"/>
        <v>1237192.0491814285</v>
      </c>
      <c r="L460" s="776">
        <f t="shared" si="664"/>
        <v>185578.80737721428</v>
      </c>
      <c r="M460" s="776">
        <f t="shared" si="665"/>
        <v>1422770.8565586428</v>
      </c>
      <c r="N460" s="776">
        <f t="shared" si="666"/>
        <v>1224974.716735</v>
      </c>
      <c r="O460" s="776">
        <f t="shared" si="667"/>
        <v>183746.20751025001</v>
      </c>
      <c r="P460" s="776">
        <f t="shared" si="668"/>
        <v>1408720.9242452499</v>
      </c>
      <c r="Q460" s="783">
        <f>NCong!R535</f>
        <v>35526.211346153839</v>
      </c>
    </row>
    <row r="461" spans="1:17" s="769" customFormat="1">
      <c r="A461" s="771">
        <v>25.2</v>
      </c>
      <c r="B461" s="808" t="s">
        <v>772</v>
      </c>
      <c r="C461" s="804" t="s">
        <v>51</v>
      </c>
      <c r="D461" s="801" t="s">
        <v>31</v>
      </c>
      <c r="E461" s="783"/>
      <c r="F461" s="783"/>
      <c r="G461" s="783"/>
      <c r="H461" s="783"/>
      <c r="I461" s="783"/>
      <c r="J461" s="783"/>
      <c r="K461" s="776"/>
      <c r="L461" s="776"/>
      <c r="M461" s="776"/>
      <c r="N461" s="776"/>
      <c r="O461" s="776"/>
      <c r="P461" s="776"/>
      <c r="Q461" s="783"/>
    </row>
    <row r="462" spans="1:17" s="769" customFormat="1">
      <c r="A462" s="809" t="s">
        <v>767</v>
      </c>
      <c r="B462" s="810" t="s">
        <v>768</v>
      </c>
      <c r="C462" s="804" t="s">
        <v>51</v>
      </c>
      <c r="D462" s="801" t="s">
        <v>31</v>
      </c>
      <c r="E462" s="783">
        <f>E458</f>
        <v>742775.23649999988</v>
      </c>
      <c r="F462" s="783"/>
      <c r="G462" s="783">
        <f t="shared" ref="G462:J464" si="670">G453</f>
        <v>9453.834230769231</v>
      </c>
      <c r="H462" s="783">
        <f t="shared" si="670"/>
        <v>10380.399999999998</v>
      </c>
      <c r="I462" s="783">
        <f t="shared" si="670"/>
        <v>5638.7688214285708</v>
      </c>
      <c r="J462" s="783">
        <f t="shared" si="670"/>
        <v>11413.97082</v>
      </c>
      <c r="K462" s="776">
        <f t="shared" ref="K462:K464" si="671">SUM(E462:J462)</f>
        <v>779662.21037219767</v>
      </c>
      <c r="L462" s="776">
        <f t="shared" ref="L462:L464" si="672">K462*15%</f>
        <v>116949.33155582965</v>
      </c>
      <c r="M462" s="776">
        <f t="shared" ref="M462:M464" si="673">K462+L462</f>
        <v>896611.54192802729</v>
      </c>
      <c r="N462" s="776">
        <f t="shared" ref="N462:N464" si="674">K462-I462</f>
        <v>774023.44155076914</v>
      </c>
      <c r="O462" s="776">
        <f t="shared" ref="O462:O464" si="675">$L$6*N462</f>
        <v>116103.51623261537</v>
      </c>
      <c r="P462" s="776">
        <f t="shared" ref="P462:P464" si="676">N462+O462</f>
        <v>890126.95778338448</v>
      </c>
      <c r="Q462" s="783">
        <f>Q458</f>
        <v>22959.166153846152</v>
      </c>
    </row>
    <row r="463" spans="1:17" s="769" customFormat="1">
      <c r="A463" s="809" t="s">
        <v>767</v>
      </c>
      <c r="B463" s="810" t="s">
        <v>769</v>
      </c>
      <c r="C463" s="804" t="s">
        <v>51</v>
      </c>
      <c r="D463" s="801" t="s">
        <v>31</v>
      </c>
      <c r="E463" s="783">
        <f t="shared" ref="E463:E464" si="677">E459</f>
        <v>920133.70762499981</v>
      </c>
      <c r="F463" s="783"/>
      <c r="G463" s="783">
        <f t="shared" si="670"/>
        <v>9453.834230769231</v>
      </c>
      <c r="H463" s="783">
        <f t="shared" si="670"/>
        <v>10380.399999999998</v>
      </c>
      <c r="I463" s="783">
        <f t="shared" si="670"/>
        <v>5638.7688214285708</v>
      </c>
      <c r="J463" s="783">
        <f t="shared" si="670"/>
        <v>11413.97082</v>
      </c>
      <c r="K463" s="776">
        <f t="shared" si="671"/>
        <v>957020.6814971976</v>
      </c>
      <c r="L463" s="776">
        <f t="shared" si="672"/>
        <v>143553.10222457963</v>
      </c>
      <c r="M463" s="776">
        <f t="shared" si="673"/>
        <v>1100573.7837217771</v>
      </c>
      <c r="N463" s="776">
        <f t="shared" si="674"/>
        <v>951381.91267576907</v>
      </c>
      <c r="O463" s="776">
        <f t="shared" si="675"/>
        <v>142707.28690136535</v>
      </c>
      <c r="P463" s="776">
        <f t="shared" si="676"/>
        <v>1094089.1995771343</v>
      </c>
      <c r="Q463" s="783">
        <f t="shared" ref="Q463:Q464" si="678">Q459</f>
        <v>28545.64942307692</v>
      </c>
    </row>
    <row r="464" spans="1:17" s="769" customFormat="1">
      <c r="A464" s="809" t="s">
        <v>767</v>
      </c>
      <c r="B464" s="810" t="s">
        <v>770</v>
      </c>
      <c r="C464" s="804" t="s">
        <v>51</v>
      </c>
      <c r="D464" s="801" t="s">
        <v>31</v>
      </c>
      <c r="E464" s="783">
        <f t="shared" si="677"/>
        <v>1148007.139125</v>
      </c>
      <c r="F464" s="783"/>
      <c r="G464" s="783">
        <f t="shared" si="670"/>
        <v>12289.984499999999</v>
      </c>
      <c r="H464" s="783">
        <f t="shared" si="670"/>
        <v>10380.399999999998</v>
      </c>
      <c r="I464" s="783">
        <f t="shared" si="670"/>
        <v>7330.3994678571435</v>
      </c>
      <c r="J464" s="783">
        <f t="shared" si="670"/>
        <v>14838.162066000001</v>
      </c>
      <c r="K464" s="776">
        <f t="shared" si="671"/>
        <v>1192846.0851588571</v>
      </c>
      <c r="L464" s="776">
        <f t="shared" si="672"/>
        <v>178926.91277382855</v>
      </c>
      <c r="M464" s="776">
        <f t="shared" si="673"/>
        <v>1371772.9979326855</v>
      </c>
      <c r="N464" s="776">
        <f t="shared" si="674"/>
        <v>1185515.685691</v>
      </c>
      <c r="O464" s="776">
        <f t="shared" si="675"/>
        <v>177827.35285364999</v>
      </c>
      <c r="P464" s="776">
        <f t="shared" si="676"/>
        <v>1363343.03854465</v>
      </c>
      <c r="Q464" s="783">
        <f t="shared" si="678"/>
        <v>35526.211346153839</v>
      </c>
    </row>
    <row r="465" spans="1:17" s="769" customFormat="1" ht="14">
      <c r="A465" s="771">
        <v>26</v>
      </c>
      <c r="B465" s="808" t="s">
        <v>282</v>
      </c>
      <c r="C465" s="804" t="s">
        <v>51</v>
      </c>
      <c r="D465" s="801" t="s">
        <v>31</v>
      </c>
      <c r="E465" s="783"/>
      <c r="F465" s="783"/>
      <c r="G465" s="783"/>
      <c r="H465" s="783"/>
      <c r="I465" s="783"/>
      <c r="J465" s="783"/>
      <c r="K465" s="776"/>
      <c r="L465" s="776"/>
      <c r="M465" s="776"/>
      <c r="N465" s="776"/>
      <c r="O465" s="776"/>
      <c r="P465" s="776"/>
      <c r="Q465" s="783"/>
    </row>
    <row r="466" spans="1:17" s="769" customFormat="1">
      <c r="A466" s="771">
        <v>26.1</v>
      </c>
      <c r="B466" s="808" t="s">
        <v>771</v>
      </c>
      <c r="C466" s="804" t="s">
        <v>51</v>
      </c>
      <c r="D466" s="801" t="s">
        <v>31</v>
      </c>
      <c r="E466" s="783"/>
      <c r="F466" s="783"/>
      <c r="G466" s="783"/>
      <c r="H466" s="783"/>
      <c r="I466" s="783"/>
      <c r="J466" s="783"/>
      <c r="K466" s="776"/>
      <c r="L466" s="776"/>
      <c r="M466" s="776"/>
      <c r="N466" s="776"/>
      <c r="O466" s="776"/>
      <c r="P466" s="776"/>
      <c r="Q466" s="783"/>
    </row>
    <row r="467" spans="1:17" s="769" customFormat="1">
      <c r="A467" s="809" t="s">
        <v>767</v>
      </c>
      <c r="B467" s="810" t="s">
        <v>768</v>
      </c>
      <c r="C467" s="804" t="s">
        <v>51</v>
      </c>
      <c r="D467" s="801" t="s">
        <v>31</v>
      </c>
      <c r="E467" s="783">
        <f>NCong!M536</f>
        <v>731036.54249999986</v>
      </c>
      <c r="F467" s="783"/>
      <c r="G467" s="783">
        <f>G458</f>
        <v>15756.390384615384</v>
      </c>
      <c r="H467" s="783">
        <f t="shared" ref="H467:J467" si="679">H458</f>
        <v>31754</v>
      </c>
      <c r="I467" s="783">
        <f t="shared" si="679"/>
        <v>9397.9480357142857</v>
      </c>
      <c r="J467" s="783">
        <f t="shared" si="679"/>
        <v>19023.2847</v>
      </c>
      <c r="K467" s="776">
        <f t="shared" ref="K467:K473" si="680">SUM(E467:J467)</f>
        <v>806968.16562032956</v>
      </c>
      <c r="L467" s="776">
        <f t="shared" ref="L467:L473" si="681">K467*15%</f>
        <v>121045.22484304942</v>
      </c>
      <c r="M467" s="776">
        <f t="shared" ref="M467:M473" si="682">K467+L467</f>
        <v>928013.39046337898</v>
      </c>
      <c r="N467" s="776">
        <f t="shared" ref="N467:N473" si="683">K467-I467</f>
        <v>797570.21758461522</v>
      </c>
      <c r="O467" s="776">
        <f t="shared" ref="O467:O473" si="684">$L$6*N467</f>
        <v>119635.53263769227</v>
      </c>
      <c r="P467" s="776">
        <f t="shared" ref="P467:P473" si="685">N467+O467</f>
        <v>917205.75022230751</v>
      </c>
      <c r="Q467" s="783">
        <f>NCong!P536</f>
        <v>22642.332307692304</v>
      </c>
    </row>
    <row r="468" spans="1:17" s="769" customFormat="1">
      <c r="A468" s="809" t="s">
        <v>767</v>
      </c>
      <c r="B468" s="810" t="s">
        <v>769</v>
      </c>
      <c r="C468" s="804" t="s">
        <v>51</v>
      </c>
      <c r="D468" s="801" t="s">
        <v>31</v>
      </c>
      <c r="E468" s="783">
        <f>NCong!N536</f>
        <v>903926.30624999979</v>
      </c>
      <c r="F468" s="783"/>
      <c r="G468" s="783">
        <f t="shared" ref="G468:J469" si="686">G459</f>
        <v>15756.390384615384</v>
      </c>
      <c r="H468" s="783">
        <f t="shared" si="686"/>
        <v>31754</v>
      </c>
      <c r="I468" s="783">
        <f t="shared" si="686"/>
        <v>9397.9480357142857</v>
      </c>
      <c r="J468" s="783">
        <f t="shared" si="686"/>
        <v>19023.2847</v>
      </c>
      <c r="K468" s="776">
        <f t="shared" si="680"/>
        <v>979857.92937032948</v>
      </c>
      <c r="L468" s="776">
        <f t="shared" si="681"/>
        <v>146978.6894055494</v>
      </c>
      <c r="M468" s="776">
        <f t="shared" si="682"/>
        <v>1126836.6187758788</v>
      </c>
      <c r="N468" s="776">
        <f t="shared" si="683"/>
        <v>970459.98133461515</v>
      </c>
      <c r="O468" s="776">
        <f t="shared" si="684"/>
        <v>145568.99720019227</v>
      </c>
      <c r="P468" s="776">
        <f t="shared" si="685"/>
        <v>1116028.9785348075</v>
      </c>
      <c r="Q468" s="783">
        <f>NCong!Q536</f>
        <v>28108.202692307688</v>
      </c>
    </row>
    <row r="469" spans="1:17" s="769" customFormat="1">
      <c r="A469" s="809" t="s">
        <v>767</v>
      </c>
      <c r="B469" s="810" t="s">
        <v>770</v>
      </c>
      <c r="C469" s="804" t="s">
        <v>51</v>
      </c>
      <c r="D469" s="801" t="s">
        <v>31</v>
      </c>
      <c r="E469" s="783">
        <f>NCong!O536</f>
        <v>1118593.7070000002</v>
      </c>
      <c r="F469" s="783"/>
      <c r="G469" s="783">
        <f t="shared" si="686"/>
        <v>20483.307499999999</v>
      </c>
      <c r="H469" s="783">
        <f t="shared" si="686"/>
        <v>31754</v>
      </c>
      <c r="I469" s="783">
        <f t="shared" si="686"/>
        <v>12217.332446428572</v>
      </c>
      <c r="J469" s="783">
        <f t="shared" si="686"/>
        <v>24730.270110000001</v>
      </c>
      <c r="K469" s="776">
        <f t="shared" si="680"/>
        <v>1207778.6170564287</v>
      </c>
      <c r="L469" s="776">
        <f t="shared" si="681"/>
        <v>181166.79255846431</v>
      </c>
      <c r="M469" s="776">
        <f t="shared" si="682"/>
        <v>1388945.4096148929</v>
      </c>
      <c r="N469" s="776">
        <f t="shared" si="683"/>
        <v>1195561.2846100002</v>
      </c>
      <c r="O469" s="776">
        <f t="shared" si="684"/>
        <v>179334.19269150004</v>
      </c>
      <c r="P469" s="776">
        <f t="shared" si="685"/>
        <v>1374895.4773015003</v>
      </c>
      <c r="Q469" s="783">
        <f>NCong!R536</f>
        <v>34732.32653846153</v>
      </c>
    </row>
    <row r="470" spans="1:17" s="769" customFormat="1">
      <c r="A470" s="771">
        <v>26.2</v>
      </c>
      <c r="B470" s="808" t="s">
        <v>772</v>
      </c>
      <c r="C470" s="804" t="s">
        <v>51</v>
      </c>
      <c r="D470" s="801" t="s">
        <v>31</v>
      </c>
      <c r="E470" s="783"/>
      <c r="F470" s="783"/>
      <c r="G470" s="783"/>
      <c r="H470" s="783"/>
      <c r="I470" s="783"/>
      <c r="J470" s="783"/>
      <c r="K470" s="776"/>
      <c r="L470" s="776"/>
      <c r="M470" s="776"/>
      <c r="N470" s="776"/>
      <c r="O470" s="776"/>
      <c r="P470" s="776"/>
      <c r="Q470" s="783"/>
    </row>
    <row r="471" spans="1:17" s="769" customFormat="1">
      <c r="A471" s="809" t="s">
        <v>767</v>
      </c>
      <c r="B471" s="810" t="s">
        <v>768</v>
      </c>
      <c r="C471" s="804" t="s">
        <v>51</v>
      </c>
      <c r="D471" s="801" t="s">
        <v>31</v>
      </c>
      <c r="E471" s="783">
        <f>E467</f>
        <v>731036.54249999986</v>
      </c>
      <c r="F471" s="783"/>
      <c r="G471" s="783">
        <f t="shared" ref="G471:J473" si="687">G462</f>
        <v>9453.834230769231</v>
      </c>
      <c r="H471" s="783">
        <f t="shared" si="687"/>
        <v>10380.399999999998</v>
      </c>
      <c r="I471" s="783">
        <f t="shared" si="687"/>
        <v>5638.7688214285708</v>
      </c>
      <c r="J471" s="783">
        <f t="shared" si="687"/>
        <v>11413.97082</v>
      </c>
      <c r="K471" s="776">
        <f t="shared" si="680"/>
        <v>767923.51637219766</v>
      </c>
      <c r="L471" s="776">
        <f t="shared" si="681"/>
        <v>115188.52745582965</v>
      </c>
      <c r="M471" s="776">
        <f t="shared" si="682"/>
        <v>883112.04382802732</v>
      </c>
      <c r="N471" s="776">
        <f t="shared" si="683"/>
        <v>762284.74755076913</v>
      </c>
      <c r="O471" s="776">
        <f t="shared" si="684"/>
        <v>114342.71213261537</v>
      </c>
      <c r="P471" s="776">
        <f t="shared" si="685"/>
        <v>876627.45968338451</v>
      </c>
      <c r="Q471" s="783">
        <f>Q467</f>
        <v>22642.332307692304</v>
      </c>
    </row>
    <row r="472" spans="1:17" s="769" customFormat="1">
      <c r="A472" s="809" t="s">
        <v>767</v>
      </c>
      <c r="B472" s="810" t="s">
        <v>769</v>
      </c>
      <c r="C472" s="804" t="s">
        <v>51</v>
      </c>
      <c r="D472" s="801" t="s">
        <v>31</v>
      </c>
      <c r="E472" s="783">
        <f t="shared" ref="E472:E473" si="688">E468</f>
        <v>903926.30624999979</v>
      </c>
      <c r="F472" s="783"/>
      <c r="G472" s="783">
        <f t="shared" si="687"/>
        <v>9453.834230769231</v>
      </c>
      <c r="H472" s="783">
        <f t="shared" si="687"/>
        <v>10380.399999999998</v>
      </c>
      <c r="I472" s="783">
        <f t="shared" si="687"/>
        <v>5638.7688214285708</v>
      </c>
      <c r="J472" s="783">
        <f t="shared" si="687"/>
        <v>11413.97082</v>
      </c>
      <c r="K472" s="776">
        <f t="shared" si="680"/>
        <v>940813.28012219758</v>
      </c>
      <c r="L472" s="776">
        <f t="shared" si="681"/>
        <v>141121.99201832962</v>
      </c>
      <c r="M472" s="776">
        <f t="shared" si="682"/>
        <v>1081935.2721405271</v>
      </c>
      <c r="N472" s="776">
        <f t="shared" si="683"/>
        <v>935174.51130076905</v>
      </c>
      <c r="O472" s="776">
        <f t="shared" si="684"/>
        <v>140276.17669511534</v>
      </c>
      <c r="P472" s="776">
        <f t="shared" si="685"/>
        <v>1075450.6879958843</v>
      </c>
      <c r="Q472" s="783">
        <f t="shared" ref="Q472:Q473" si="689">Q468</f>
        <v>28108.202692307688</v>
      </c>
    </row>
    <row r="473" spans="1:17" s="769" customFormat="1">
      <c r="A473" s="809" t="s">
        <v>767</v>
      </c>
      <c r="B473" s="810" t="s">
        <v>770</v>
      </c>
      <c r="C473" s="804" t="s">
        <v>51</v>
      </c>
      <c r="D473" s="801" t="s">
        <v>31</v>
      </c>
      <c r="E473" s="783">
        <f t="shared" si="688"/>
        <v>1118593.7070000002</v>
      </c>
      <c r="F473" s="783"/>
      <c r="G473" s="783">
        <f t="shared" si="687"/>
        <v>12289.984499999999</v>
      </c>
      <c r="H473" s="783">
        <f t="shared" si="687"/>
        <v>10380.399999999998</v>
      </c>
      <c r="I473" s="783">
        <f t="shared" si="687"/>
        <v>7330.3994678571435</v>
      </c>
      <c r="J473" s="783">
        <f t="shared" si="687"/>
        <v>14838.162066000001</v>
      </c>
      <c r="K473" s="776">
        <f t="shared" si="680"/>
        <v>1163432.6530338572</v>
      </c>
      <c r="L473" s="776">
        <f t="shared" si="681"/>
        <v>174514.89795507857</v>
      </c>
      <c r="M473" s="776">
        <f t="shared" si="682"/>
        <v>1337947.5509889359</v>
      </c>
      <c r="N473" s="776">
        <f t="shared" si="683"/>
        <v>1156102.2535660001</v>
      </c>
      <c r="O473" s="776">
        <f t="shared" si="684"/>
        <v>173415.33803490002</v>
      </c>
      <c r="P473" s="776">
        <f t="shared" si="685"/>
        <v>1329517.5916009001</v>
      </c>
      <c r="Q473" s="783">
        <f t="shared" si="689"/>
        <v>34732.32653846153</v>
      </c>
    </row>
    <row r="474" spans="1:17" s="769" customFormat="1">
      <c r="A474" s="771">
        <v>27</v>
      </c>
      <c r="B474" s="808" t="s">
        <v>284</v>
      </c>
      <c r="C474" s="804" t="s">
        <v>51</v>
      </c>
      <c r="D474" s="801" t="s">
        <v>31</v>
      </c>
      <c r="E474" s="783"/>
      <c r="F474" s="783"/>
      <c r="G474" s="783"/>
      <c r="H474" s="783"/>
      <c r="I474" s="783"/>
      <c r="J474" s="783"/>
      <c r="K474" s="776"/>
      <c r="L474" s="776"/>
      <c r="M474" s="776"/>
      <c r="N474" s="776"/>
      <c r="O474" s="776"/>
      <c r="P474" s="776"/>
      <c r="Q474" s="783"/>
    </row>
    <row r="475" spans="1:17" s="769" customFormat="1">
      <c r="A475" s="771">
        <v>27.1</v>
      </c>
      <c r="B475" s="808" t="s">
        <v>771</v>
      </c>
      <c r="C475" s="804" t="s">
        <v>51</v>
      </c>
      <c r="D475" s="801" t="s">
        <v>31</v>
      </c>
      <c r="E475" s="783"/>
      <c r="F475" s="783"/>
      <c r="G475" s="783"/>
      <c r="H475" s="783"/>
      <c r="I475" s="783"/>
      <c r="J475" s="783"/>
      <c r="K475" s="776"/>
      <c r="L475" s="776"/>
      <c r="M475" s="776"/>
      <c r="N475" s="776"/>
      <c r="O475" s="776"/>
      <c r="P475" s="776"/>
      <c r="Q475" s="783"/>
    </row>
    <row r="476" spans="1:17" s="769" customFormat="1">
      <c r="A476" s="809" t="s">
        <v>767</v>
      </c>
      <c r="B476" s="810" t="s">
        <v>768</v>
      </c>
      <c r="C476" s="804" t="s">
        <v>51</v>
      </c>
      <c r="D476" s="801" t="s">
        <v>31</v>
      </c>
      <c r="E476" s="783">
        <f>E480</f>
        <v>368054.20409999986</v>
      </c>
      <c r="F476" s="783"/>
      <c r="G476" s="783">
        <f>G467</f>
        <v>15756.390384615384</v>
      </c>
      <c r="H476" s="783">
        <f t="shared" ref="H476:J476" si="690">H467</f>
        <v>31754</v>
      </c>
      <c r="I476" s="783">
        <f t="shared" si="690"/>
        <v>9397.9480357142857</v>
      </c>
      <c r="J476" s="783">
        <f t="shared" si="690"/>
        <v>19023.2847</v>
      </c>
      <c r="K476" s="776">
        <f t="shared" ref="K476:K478" si="691">SUM(E476:J476)</f>
        <v>443985.82722032955</v>
      </c>
      <c r="L476" s="776">
        <f t="shared" ref="L476:L478" si="692">K476*15%</f>
        <v>66597.874083049435</v>
      </c>
      <c r="M476" s="776">
        <f t="shared" ref="M476:M478" si="693">K476+L476</f>
        <v>510583.70130337897</v>
      </c>
      <c r="N476" s="776">
        <f t="shared" ref="N476:N478" si="694">K476-I476</f>
        <v>434587.87918461527</v>
      </c>
      <c r="O476" s="776">
        <f t="shared" ref="O476:O478" si="695">$L$6*N476</f>
        <v>65188.181877692288</v>
      </c>
      <c r="P476" s="776">
        <f t="shared" ref="P476:P478" si="696">N476+O476</f>
        <v>499776.06106230756</v>
      </c>
      <c r="Q476" s="783">
        <f>NCong!P537</f>
        <v>11152.084307692305</v>
      </c>
    </row>
    <row r="477" spans="1:17" s="769" customFormat="1">
      <c r="A477" s="809" t="s">
        <v>767</v>
      </c>
      <c r="B477" s="810" t="s">
        <v>769</v>
      </c>
      <c r="C477" s="804" t="s">
        <v>51</v>
      </c>
      <c r="D477" s="801" t="s">
        <v>31</v>
      </c>
      <c r="E477" s="783">
        <f t="shared" ref="E477:E478" si="697">E481</f>
        <v>358627.55692499987</v>
      </c>
      <c r="F477" s="783"/>
      <c r="G477" s="783">
        <f t="shared" ref="G477:J478" si="698">G468</f>
        <v>15756.390384615384</v>
      </c>
      <c r="H477" s="783">
        <f t="shared" si="698"/>
        <v>31754</v>
      </c>
      <c r="I477" s="783">
        <f t="shared" si="698"/>
        <v>9397.9480357142857</v>
      </c>
      <c r="J477" s="783">
        <f t="shared" si="698"/>
        <v>19023.2847</v>
      </c>
      <c r="K477" s="776">
        <f t="shared" si="691"/>
        <v>434559.18004532956</v>
      </c>
      <c r="L477" s="776">
        <f t="shared" si="692"/>
        <v>65183.877006799434</v>
      </c>
      <c r="M477" s="776">
        <f t="shared" si="693"/>
        <v>499743.05705212901</v>
      </c>
      <c r="N477" s="776">
        <f t="shared" si="694"/>
        <v>425161.23200961528</v>
      </c>
      <c r="O477" s="776">
        <f t="shared" si="695"/>
        <v>63774.184801442287</v>
      </c>
      <c r="P477" s="776">
        <f t="shared" si="696"/>
        <v>488935.4168110576</v>
      </c>
      <c r="Q477" s="783">
        <f>NCong!Q537</f>
        <v>10850.556961538461</v>
      </c>
    </row>
    <row r="478" spans="1:17" s="769" customFormat="1">
      <c r="A478" s="809" t="s">
        <v>767</v>
      </c>
      <c r="B478" s="810" t="s">
        <v>770</v>
      </c>
      <c r="C478" s="804" t="s">
        <v>51</v>
      </c>
      <c r="D478" s="801" t="s">
        <v>31</v>
      </c>
      <c r="E478" s="783">
        <f t="shared" si="697"/>
        <v>470106.21322499996</v>
      </c>
      <c r="F478" s="783"/>
      <c r="G478" s="783">
        <f t="shared" si="698"/>
        <v>20483.307499999999</v>
      </c>
      <c r="H478" s="783">
        <f t="shared" si="698"/>
        <v>31754</v>
      </c>
      <c r="I478" s="783">
        <f t="shared" si="698"/>
        <v>12217.332446428572</v>
      </c>
      <c r="J478" s="783">
        <f t="shared" si="698"/>
        <v>24730.270110000001</v>
      </c>
      <c r="K478" s="776">
        <f t="shared" si="691"/>
        <v>559291.12328142859</v>
      </c>
      <c r="L478" s="776">
        <f t="shared" si="692"/>
        <v>83893.668492214289</v>
      </c>
      <c r="M478" s="776">
        <f t="shared" si="693"/>
        <v>643184.79177364288</v>
      </c>
      <c r="N478" s="776">
        <f t="shared" si="694"/>
        <v>547073.79083499999</v>
      </c>
      <c r="O478" s="776">
        <f t="shared" si="695"/>
        <v>82061.068625250002</v>
      </c>
      <c r="P478" s="776">
        <f t="shared" si="696"/>
        <v>629134.85946025001</v>
      </c>
      <c r="Q478" s="783">
        <f>NCong!R537</f>
        <v>14181.613346153845</v>
      </c>
    </row>
    <row r="479" spans="1:17" s="769" customFormat="1">
      <c r="A479" s="771">
        <v>27.2</v>
      </c>
      <c r="B479" s="808" t="s">
        <v>772</v>
      </c>
      <c r="C479" s="804"/>
      <c r="D479" s="801"/>
      <c r="E479" s="783"/>
      <c r="F479" s="783"/>
      <c r="G479" s="783"/>
      <c r="H479" s="783"/>
      <c r="I479" s="783"/>
      <c r="J479" s="783"/>
      <c r="K479" s="776"/>
      <c r="L479" s="776"/>
      <c r="M479" s="776"/>
      <c r="N479" s="776"/>
      <c r="O479" s="776"/>
      <c r="P479" s="776"/>
      <c r="Q479" s="783"/>
    </row>
    <row r="480" spans="1:17" s="769" customFormat="1">
      <c r="A480" s="809" t="s">
        <v>767</v>
      </c>
      <c r="B480" s="810" t="s">
        <v>768</v>
      </c>
      <c r="C480" s="804" t="s">
        <v>51</v>
      </c>
      <c r="D480" s="801" t="s">
        <v>31</v>
      </c>
      <c r="E480" s="783">
        <f>NCong!M537</f>
        <v>368054.20409999986</v>
      </c>
      <c r="F480" s="783"/>
      <c r="G480" s="783">
        <f>G471</f>
        <v>9453.834230769231</v>
      </c>
      <c r="H480" s="783">
        <f t="shared" ref="H480:J482" si="699">H471</f>
        <v>10380.399999999998</v>
      </c>
      <c r="I480" s="783">
        <f t="shared" si="699"/>
        <v>5638.7688214285708</v>
      </c>
      <c r="J480" s="783">
        <f t="shared" si="699"/>
        <v>11413.97082</v>
      </c>
      <c r="K480" s="776">
        <f t="shared" ref="K480:K482" si="700">SUM(E480:J480)</f>
        <v>404941.17797219771</v>
      </c>
      <c r="L480" s="776">
        <f t="shared" ref="L480:L482" si="701">K480*15%</f>
        <v>60741.17669582965</v>
      </c>
      <c r="M480" s="776">
        <f t="shared" ref="M480:M482" si="702">K480+L480</f>
        <v>465682.35466802737</v>
      </c>
      <c r="N480" s="776">
        <f t="shared" ref="N480:N482" si="703">K480-I480</f>
        <v>399302.40915076912</v>
      </c>
      <c r="O480" s="776">
        <f t="shared" ref="O480:O482" si="704">$L$6*N480</f>
        <v>59895.361372615364</v>
      </c>
      <c r="P480" s="776">
        <f t="shared" ref="P480:P482" si="705">N480+O480</f>
        <v>459197.7705233845</v>
      </c>
      <c r="Q480" s="783">
        <f>Q476</f>
        <v>11152.084307692305</v>
      </c>
    </row>
    <row r="481" spans="1:17" s="769" customFormat="1">
      <c r="A481" s="809" t="s">
        <v>767</v>
      </c>
      <c r="B481" s="810" t="s">
        <v>769</v>
      </c>
      <c r="C481" s="804" t="s">
        <v>51</v>
      </c>
      <c r="D481" s="801" t="s">
        <v>31</v>
      </c>
      <c r="E481" s="783">
        <f>NCong!N537</f>
        <v>358627.55692499987</v>
      </c>
      <c r="F481" s="783"/>
      <c r="G481" s="783">
        <f>G472</f>
        <v>9453.834230769231</v>
      </c>
      <c r="H481" s="783">
        <f t="shared" si="699"/>
        <v>10380.399999999998</v>
      </c>
      <c r="I481" s="783">
        <f t="shared" si="699"/>
        <v>5638.7688214285708</v>
      </c>
      <c r="J481" s="783">
        <f t="shared" si="699"/>
        <v>11413.97082</v>
      </c>
      <c r="K481" s="776">
        <f t="shared" si="700"/>
        <v>395514.53079719772</v>
      </c>
      <c r="L481" s="776">
        <f t="shared" si="701"/>
        <v>59327.179619579656</v>
      </c>
      <c r="M481" s="776">
        <f t="shared" si="702"/>
        <v>454841.71041677735</v>
      </c>
      <c r="N481" s="776">
        <f t="shared" si="703"/>
        <v>389875.76197576913</v>
      </c>
      <c r="O481" s="776">
        <f t="shared" si="704"/>
        <v>58481.364296365369</v>
      </c>
      <c r="P481" s="776">
        <f t="shared" si="705"/>
        <v>448357.12627213448</v>
      </c>
      <c r="Q481" s="783">
        <f t="shared" ref="Q481:Q482" si="706">Q477</f>
        <v>10850.556961538461</v>
      </c>
    </row>
    <row r="482" spans="1:17" s="769" customFormat="1">
      <c r="A482" s="809" t="s">
        <v>767</v>
      </c>
      <c r="B482" s="810" t="s">
        <v>770</v>
      </c>
      <c r="C482" s="804" t="s">
        <v>51</v>
      </c>
      <c r="D482" s="801" t="s">
        <v>31</v>
      </c>
      <c r="E482" s="783">
        <f>NCong!O537</f>
        <v>470106.21322499996</v>
      </c>
      <c r="F482" s="783"/>
      <c r="G482" s="783">
        <f>G473</f>
        <v>12289.984499999999</v>
      </c>
      <c r="H482" s="783">
        <f t="shared" si="699"/>
        <v>10380.399999999998</v>
      </c>
      <c r="I482" s="783">
        <f t="shared" si="699"/>
        <v>7330.3994678571435</v>
      </c>
      <c r="J482" s="783">
        <f t="shared" si="699"/>
        <v>14838.162066000001</v>
      </c>
      <c r="K482" s="776">
        <f t="shared" si="700"/>
        <v>514945.15925885714</v>
      </c>
      <c r="L482" s="776">
        <f t="shared" si="701"/>
        <v>77241.773888828568</v>
      </c>
      <c r="M482" s="776">
        <f t="shared" si="702"/>
        <v>592186.93314768572</v>
      </c>
      <c r="N482" s="776">
        <f t="shared" si="703"/>
        <v>507614.75979099999</v>
      </c>
      <c r="O482" s="776">
        <f t="shared" si="704"/>
        <v>76142.213968650001</v>
      </c>
      <c r="P482" s="776">
        <f t="shared" si="705"/>
        <v>583756.97375965002</v>
      </c>
      <c r="Q482" s="783">
        <f t="shared" si="706"/>
        <v>14181.613346153845</v>
      </c>
    </row>
    <row r="483" spans="1:17" s="769" customFormat="1">
      <c r="A483" s="771">
        <v>28</v>
      </c>
      <c r="B483" s="808" t="s">
        <v>286</v>
      </c>
      <c r="C483" s="800" t="s">
        <v>51</v>
      </c>
      <c r="D483" s="801" t="s">
        <v>31</v>
      </c>
      <c r="E483" s="783"/>
      <c r="F483" s="783"/>
      <c r="G483" s="783"/>
      <c r="H483" s="783"/>
      <c r="I483" s="783"/>
      <c r="J483" s="783"/>
      <c r="K483" s="776"/>
      <c r="L483" s="776"/>
      <c r="M483" s="776"/>
      <c r="N483" s="776"/>
      <c r="O483" s="776"/>
      <c r="P483" s="776"/>
      <c r="Q483" s="783"/>
    </row>
    <row r="484" spans="1:17" s="769" customFormat="1">
      <c r="A484" s="771">
        <v>28.1</v>
      </c>
      <c r="B484" s="808" t="s">
        <v>771</v>
      </c>
      <c r="C484" s="804" t="s">
        <v>51</v>
      </c>
      <c r="D484" s="801" t="s">
        <v>31</v>
      </c>
      <c r="E484" s="812"/>
      <c r="F484" s="812"/>
      <c r="G484" s="812"/>
      <c r="H484" s="812"/>
      <c r="I484" s="812"/>
      <c r="J484" s="812"/>
      <c r="K484" s="776"/>
      <c r="L484" s="776"/>
      <c r="M484" s="776"/>
      <c r="N484" s="776"/>
      <c r="O484" s="776"/>
      <c r="P484" s="776"/>
      <c r="Q484" s="812"/>
    </row>
    <row r="485" spans="1:17" s="769" customFormat="1">
      <c r="A485" s="809" t="s">
        <v>767</v>
      </c>
      <c r="B485" s="810" t="s">
        <v>768</v>
      </c>
      <c r="C485" s="804" t="s">
        <v>51</v>
      </c>
      <c r="D485" s="801" t="s">
        <v>31</v>
      </c>
      <c r="E485" s="812">
        <f>E489</f>
        <v>742775.23649999988</v>
      </c>
      <c r="F485" s="812"/>
      <c r="G485" s="812">
        <f>G467</f>
        <v>15756.390384615384</v>
      </c>
      <c r="H485" s="812">
        <f t="shared" ref="H485:J487" si="707">H467</f>
        <v>31754</v>
      </c>
      <c r="I485" s="812">
        <f t="shared" si="707"/>
        <v>9397.9480357142857</v>
      </c>
      <c r="J485" s="812">
        <f t="shared" si="707"/>
        <v>19023.2847</v>
      </c>
      <c r="K485" s="776">
        <f t="shared" ref="K485:K487" si="708">SUM(E485:J485)</f>
        <v>818706.85962032957</v>
      </c>
      <c r="L485" s="776">
        <f t="shared" ref="L485:L487" si="709">K485*15%</f>
        <v>122806.02894304943</v>
      </c>
      <c r="M485" s="776">
        <f t="shared" ref="M485:M487" si="710">K485+L485</f>
        <v>941512.88856337895</v>
      </c>
      <c r="N485" s="776">
        <f t="shared" ref="N485:N487" si="711">K485-I485</f>
        <v>809308.91158461524</v>
      </c>
      <c r="O485" s="776">
        <f t="shared" ref="O485:O487" si="712">$L$6*N485</f>
        <v>121396.33673769228</v>
      </c>
      <c r="P485" s="776">
        <f t="shared" ref="P485:P487" si="713">N485+O485</f>
        <v>930705.24832230748</v>
      </c>
      <c r="Q485" s="812">
        <f>NCong!P538</f>
        <v>22959.166153846152</v>
      </c>
    </row>
    <row r="486" spans="1:17" s="769" customFormat="1">
      <c r="A486" s="809" t="s">
        <v>767</v>
      </c>
      <c r="B486" s="810" t="s">
        <v>769</v>
      </c>
      <c r="C486" s="804" t="s">
        <v>51</v>
      </c>
      <c r="D486" s="801" t="s">
        <v>31</v>
      </c>
      <c r="E486" s="812">
        <f t="shared" ref="E486:E487" si="714">E490</f>
        <v>920133.70762499981</v>
      </c>
      <c r="F486" s="812"/>
      <c r="G486" s="812">
        <f>G468</f>
        <v>15756.390384615384</v>
      </c>
      <c r="H486" s="812">
        <f t="shared" si="707"/>
        <v>31754</v>
      </c>
      <c r="I486" s="812">
        <f t="shared" si="707"/>
        <v>9397.9480357142857</v>
      </c>
      <c r="J486" s="812">
        <f t="shared" si="707"/>
        <v>19023.2847</v>
      </c>
      <c r="K486" s="776">
        <f t="shared" si="708"/>
        <v>996065.3307453295</v>
      </c>
      <c r="L486" s="776">
        <f t="shared" si="709"/>
        <v>149409.79961179942</v>
      </c>
      <c r="M486" s="776">
        <f t="shared" si="710"/>
        <v>1145475.130357129</v>
      </c>
      <c r="N486" s="776">
        <f t="shared" si="711"/>
        <v>986667.38270961517</v>
      </c>
      <c r="O486" s="776">
        <f t="shared" si="712"/>
        <v>148000.10740644226</v>
      </c>
      <c r="P486" s="776">
        <f t="shared" si="713"/>
        <v>1134667.4901160575</v>
      </c>
      <c r="Q486" s="812">
        <f>NCong!Q538</f>
        <v>28545.64942307692</v>
      </c>
    </row>
    <row r="487" spans="1:17" s="769" customFormat="1">
      <c r="A487" s="809" t="s">
        <v>767</v>
      </c>
      <c r="B487" s="810" t="s">
        <v>770</v>
      </c>
      <c r="C487" s="804" t="s">
        <v>51</v>
      </c>
      <c r="D487" s="801" t="s">
        <v>31</v>
      </c>
      <c r="E487" s="812">
        <f t="shared" si="714"/>
        <v>1148007.139125</v>
      </c>
      <c r="F487" s="812"/>
      <c r="G487" s="812">
        <f>G469</f>
        <v>20483.307499999999</v>
      </c>
      <c r="H487" s="812">
        <f t="shared" si="707"/>
        <v>31754</v>
      </c>
      <c r="I487" s="812">
        <f t="shared" si="707"/>
        <v>12217.332446428572</v>
      </c>
      <c r="J487" s="812">
        <f t="shared" si="707"/>
        <v>24730.270110000001</v>
      </c>
      <c r="K487" s="776">
        <f t="shared" si="708"/>
        <v>1237192.0491814285</v>
      </c>
      <c r="L487" s="776">
        <f t="shared" si="709"/>
        <v>185578.80737721428</v>
      </c>
      <c r="M487" s="776">
        <f t="shared" si="710"/>
        <v>1422770.8565586428</v>
      </c>
      <c r="N487" s="776">
        <f t="shared" si="711"/>
        <v>1224974.716735</v>
      </c>
      <c r="O487" s="776">
        <f t="shared" si="712"/>
        <v>183746.20751025001</v>
      </c>
      <c r="P487" s="776">
        <f t="shared" si="713"/>
        <v>1408720.9242452499</v>
      </c>
      <c r="Q487" s="812">
        <f>NCong!R538</f>
        <v>35526.211346153839</v>
      </c>
    </row>
    <row r="488" spans="1:17" s="769" customFormat="1">
      <c r="A488" s="771">
        <v>28.2</v>
      </c>
      <c r="B488" s="808" t="s">
        <v>772</v>
      </c>
      <c r="C488" s="804"/>
      <c r="D488" s="801"/>
      <c r="E488" s="812"/>
      <c r="F488" s="812"/>
      <c r="G488" s="812"/>
      <c r="H488" s="812"/>
      <c r="I488" s="812"/>
      <c r="J488" s="812"/>
      <c r="K488" s="776"/>
      <c r="L488" s="776"/>
      <c r="M488" s="776"/>
      <c r="N488" s="776"/>
      <c r="O488" s="776"/>
      <c r="P488" s="776"/>
      <c r="Q488" s="812"/>
    </row>
    <row r="489" spans="1:17" s="769" customFormat="1">
      <c r="A489" s="809" t="s">
        <v>767</v>
      </c>
      <c r="B489" s="810" t="s">
        <v>768</v>
      </c>
      <c r="C489" s="804" t="s">
        <v>51</v>
      </c>
      <c r="D489" s="801" t="s">
        <v>31</v>
      </c>
      <c r="E489" s="812">
        <f>NCong!M538</f>
        <v>742775.23649999988</v>
      </c>
      <c r="F489" s="812"/>
      <c r="G489" s="812">
        <f>G480</f>
        <v>9453.834230769231</v>
      </c>
      <c r="H489" s="812">
        <f t="shared" ref="H489:J489" si="715">H480</f>
        <v>10380.399999999998</v>
      </c>
      <c r="I489" s="812">
        <f t="shared" si="715"/>
        <v>5638.7688214285708</v>
      </c>
      <c r="J489" s="812">
        <f t="shared" si="715"/>
        <v>11413.97082</v>
      </c>
      <c r="K489" s="776">
        <f t="shared" ref="K489:K491" si="716">SUM(E489:J489)</f>
        <v>779662.21037219767</v>
      </c>
      <c r="L489" s="776">
        <f t="shared" ref="L489:L491" si="717">K489*15%</f>
        <v>116949.33155582965</v>
      </c>
      <c r="M489" s="776">
        <f t="shared" ref="M489:M491" si="718">K489+L489</f>
        <v>896611.54192802729</v>
      </c>
      <c r="N489" s="776">
        <f t="shared" ref="N489:N491" si="719">K489-I489</f>
        <v>774023.44155076914</v>
      </c>
      <c r="O489" s="776">
        <f t="shared" ref="O489:O491" si="720">$L$6*N489</f>
        <v>116103.51623261537</v>
      </c>
      <c r="P489" s="776">
        <f t="shared" ref="P489:P491" si="721">N489+O489</f>
        <v>890126.95778338448</v>
      </c>
      <c r="Q489" s="812">
        <f>Q485</f>
        <v>22959.166153846152</v>
      </c>
    </row>
    <row r="490" spans="1:17" s="769" customFormat="1">
      <c r="A490" s="809" t="s">
        <v>767</v>
      </c>
      <c r="B490" s="810" t="s">
        <v>769</v>
      </c>
      <c r="C490" s="804" t="s">
        <v>51</v>
      </c>
      <c r="D490" s="801" t="s">
        <v>31</v>
      </c>
      <c r="E490" s="812">
        <f>NCong!N538</f>
        <v>920133.70762499981</v>
      </c>
      <c r="F490" s="812"/>
      <c r="G490" s="812">
        <f t="shared" ref="G490:J491" si="722">G481</f>
        <v>9453.834230769231</v>
      </c>
      <c r="H490" s="812">
        <f t="shared" si="722"/>
        <v>10380.399999999998</v>
      </c>
      <c r="I490" s="812">
        <f t="shared" si="722"/>
        <v>5638.7688214285708</v>
      </c>
      <c r="J490" s="812">
        <f t="shared" si="722"/>
        <v>11413.97082</v>
      </c>
      <c r="K490" s="776">
        <f t="shared" si="716"/>
        <v>957020.6814971976</v>
      </c>
      <c r="L490" s="776">
        <f t="shared" si="717"/>
        <v>143553.10222457963</v>
      </c>
      <c r="M490" s="776">
        <f t="shared" si="718"/>
        <v>1100573.7837217771</v>
      </c>
      <c r="N490" s="776">
        <f t="shared" si="719"/>
        <v>951381.91267576907</v>
      </c>
      <c r="O490" s="776">
        <f t="shared" si="720"/>
        <v>142707.28690136535</v>
      </c>
      <c r="P490" s="776">
        <f t="shared" si="721"/>
        <v>1094089.1995771343</v>
      </c>
      <c r="Q490" s="812">
        <f t="shared" ref="Q490:Q491" si="723">Q486</f>
        <v>28545.64942307692</v>
      </c>
    </row>
    <row r="491" spans="1:17" s="769" customFormat="1">
      <c r="A491" s="809" t="s">
        <v>767</v>
      </c>
      <c r="B491" s="810" t="s">
        <v>770</v>
      </c>
      <c r="C491" s="804" t="s">
        <v>51</v>
      </c>
      <c r="D491" s="801" t="s">
        <v>31</v>
      </c>
      <c r="E491" s="812">
        <f>NCong!O538</f>
        <v>1148007.139125</v>
      </c>
      <c r="F491" s="812"/>
      <c r="G491" s="812">
        <f t="shared" si="722"/>
        <v>12289.984499999999</v>
      </c>
      <c r="H491" s="812">
        <f t="shared" si="722"/>
        <v>10380.399999999998</v>
      </c>
      <c r="I491" s="812">
        <f t="shared" si="722"/>
        <v>7330.3994678571435</v>
      </c>
      <c r="J491" s="812">
        <f t="shared" si="722"/>
        <v>14838.162066000001</v>
      </c>
      <c r="K491" s="776">
        <f t="shared" si="716"/>
        <v>1192846.0851588571</v>
      </c>
      <c r="L491" s="776">
        <f t="shared" si="717"/>
        <v>178926.91277382855</v>
      </c>
      <c r="M491" s="776">
        <f t="shared" si="718"/>
        <v>1371772.9979326855</v>
      </c>
      <c r="N491" s="776">
        <f t="shared" si="719"/>
        <v>1185515.685691</v>
      </c>
      <c r="O491" s="776">
        <f t="shared" si="720"/>
        <v>177827.35285364999</v>
      </c>
      <c r="P491" s="776">
        <f t="shared" si="721"/>
        <v>1363343.03854465</v>
      </c>
      <c r="Q491" s="812">
        <f t="shared" si="723"/>
        <v>35526.211346153839</v>
      </c>
    </row>
    <row r="492" spans="1:17" s="769" customFormat="1" hidden="1">
      <c r="A492" s="771" t="s">
        <v>19</v>
      </c>
      <c r="B492" s="774" t="s">
        <v>671</v>
      </c>
      <c r="C492" s="771" t="s">
        <v>51</v>
      </c>
      <c r="D492" s="774"/>
      <c r="E492" s="776">
        <f t="shared" ref="E492:J492" si="724">E493+E494</f>
        <v>1998289.1280000003</v>
      </c>
      <c r="F492" s="776">
        <f t="shared" si="724"/>
        <v>0</v>
      </c>
      <c r="G492" s="776">
        <f t="shared" si="724"/>
        <v>15756.390384615384</v>
      </c>
      <c r="H492" s="776">
        <f t="shared" si="724"/>
        <v>31754</v>
      </c>
      <c r="I492" s="776">
        <f t="shared" si="724"/>
        <v>9397.9480357142857</v>
      </c>
      <c r="J492" s="776">
        <f t="shared" si="724"/>
        <v>19023.2847</v>
      </c>
      <c r="K492" s="776">
        <f>SUM(E492:J492)</f>
        <v>2074220.7511203298</v>
      </c>
      <c r="L492" s="776">
        <f>$L$6*K492</f>
        <v>311133.11266804946</v>
      </c>
      <c r="M492" s="776">
        <f>K492+L492</f>
        <v>2385353.8637883794</v>
      </c>
      <c r="N492" s="776"/>
      <c r="O492" s="776"/>
      <c r="P492" s="776"/>
      <c r="Q492" s="776">
        <f t="shared" ref="Q492" si="725">Q493+Q494</f>
        <v>57411.538461538461</v>
      </c>
    </row>
    <row r="493" spans="1:17" s="780" customFormat="1" ht="14" hidden="1">
      <c r="A493" s="777" t="str">
        <f>NCong!A455</f>
        <v>VII.1</v>
      </c>
      <c r="B493" s="781" t="str">
        <f>NCong!B455</f>
        <v>CÁC NỘI DUNG THỰC HIỆN TẠI ĐỊA BÀN XÃ, PHƯỜNG (TRƯỜNG HỢP CÓ CẤP GCN</v>
      </c>
      <c r="C493" s="777" t="s">
        <v>51</v>
      </c>
      <c r="D493" s="778">
        <f>NCong!E455</f>
        <v>0</v>
      </c>
      <c r="E493" s="779">
        <f>NCong!K455</f>
        <v>1998289.1280000003</v>
      </c>
      <c r="F493" s="779"/>
      <c r="G493" s="779">
        <f>Dcu!K214</f>
        <v>15756.390384615384</v>
      </c>
      <c r="H493" s="779">
        <f>VLieu!I153</f>
        <v>31754</v>
      </c>
      <c r="I493" s="779">
        <f>Tbi!I127</f>
        <v>9397.9480357142857</v>
      </c>
      <c r="J493" s="779">
        <f>Tbi!I134</f>
        <v>19023.2847</v>
      </c>
      <c r="K493" s="779">
        <f>SUM(E493:J493)</f>
        <v>2074220.7511203298</v>
      </c>
      <c r="L493" s="779">
        <f>$L$6*K493</f>
        <v>311133.11266804946</v>
      </c>
      <c r="M493" s="779">
        <f>K493+L493</f>
        <v>2385353.8637883794</v>
      </c>
      <c r="N493" s="779"/>
      <c r="O493" s="779"/>
      <c r="P493" s="779"/>
      <c r="Q493" s="779">
        <f>NCong!N455</f>
        <v>57411.538461538461</v>
      </c>
    </row>
    <row r="494" spans="1:17" s="780" customFormat="1" hidden="1">
      <c r="A494" s="777">
        <f>NCong!A504</f>
        <v>0</v>
      </c>
      <c r="B494" s="781">
        <f>NCong!B504</f>
        <v>0</v>
      </c>
      <c r="C494" s="777" t="s">
        <v>51</v>
      </c>
      <c r="D494" s="778">
        <f>NCong!E504</f>
        <v>0</v>
      </c>
      <c r="E494" s="779">
        <f>NCong!K504</f>
        <v>0</v>
      </c>
      <c r="F494" s="779"/>
      <c r="G494" s="779"/>
      <c r="H494" s="779"/>
      <c r="I494" s="779"/>
      <c r="J494" s="779"/>
      <c r="K494" s="779">
        <f>SUM(E494:J494)</f>
        <v>0</v>
      </c>
      <c r="L494" s="779">
        <f>$L$6*K494</f>
        <v>0</v>
      </c>
      <c r="M494" s="779">
        <f>K494+L494</f>
        <v>0</v>
      </c>
      <c r="N494" s="779"/>
      <c r="O494" s="779"/>
      <c r="P494" s="779"/>
      <c r="Q494" s="779">
        <f>NCong!N504</f>
        <v>0</v>
      </c>
    </row>
    <row r="495" spans="1:17" s="769" customFormat="1" ht="17.25" customHeight="1">
      <c r="A495" s="838" t="s">
        <v>233</v>
      </c>
      <c r="B495" s="1081" t="str">
        <f>NCong!B542</f>
        <v xml:space="preserve">Đăng ký biến động đất đai đối với tổ chức, tổ chức tôn giáo, tổ chức tôn giáo trực thuộc, tổ chức nước ngoài có chức năng ngoại giao, tổ chức kinh tế có vốn đầu tư nước ngoài, tổ chức nước ngoài, cá nhân nước ngoài </v>
      </c>
      <c r="C495" s="1082"/>
      <c r="D495" s="1082"/>
      <c r="E495" s="1082"/>
      <c r="F495" s="1082"/>
      <c r="G495" s="1082"/>
      <c r="H495" s="1082"/>
      <c r="I495" s="1082"/>
      <c r="J495" s="1082"/>
      <c r="K495" s="1082"/>
      <c r="L495" s="1082"/>
      <c r="M495" s="1082"/>
      <c r="N495" s="1082"/>
      <c r="O495" s="1082"/>
      <c r="P495" s="1082"/>
      <c r="Q495" s="783"/>
    </row>
    <row r="496" spans="1:17" s="769" customFormat="1" ht="14">
      <c r="A496" s="771" t="s">
        <v>234</v>
      </c>
      <c r="B496" s="774" t="s">
        <v>743</v>
      </c>
      <c r="C496" s="771"/>
      <c r="D496" s="771"/>
      <c r="E496" s="776"/>
      <c r="F496" s="776"/>
      <c r="G496" s="776"/>
      <c r="H496" s="776"/>
      <c r="I496" s="776"/>
      <c r="J496" s="776"/>
      <c r="K496" s="776"/>
      <c r="L496" s="776"/>
      <c r="M496" s="776"/>
      <c r="N496" s="776"/>
      <c r="O496" s="776"/>
      <c r="P496" s="776"/>
      <c r="Q496" s="776"/>
    </row>
    <row r="497" spans="1:17" s="769" customFormat="1">
      <c r="A497" s="771">
        <v>1</v>
      </c>
      <c r="B497" s="774" t="s">
        <v>736</v>
      </c>
      <c r="C497" s="800" t="s">
        <v>51</v>
      </c>
      <c r="D497" s="801" t="s">
        <v>31</v>
      </c>
      <c r="E497" s="776">
        <f>NCong!K543+NCong!K585</f>
        <v>2831880.6119999997</v>
      </c>
      <c r="F497" s="776"/>
      <c r="G497" s="776">
        <f>G504+G505</f>
        <v>15622.70412820513</v>
      </c>
      <c r="H497" s="776">
        <f>H504+H505</f>
        <v>27173.82</v>
      </c>
      <c r="I497" s="776">
        <f t="shared" ref="I497:J497" si="726">I504+I505</f>
        <v>13858.50575</v>
      </c>
      <c r="J497" s="776">
        <f t="shared" si="726"/>
        <v>31878.212100000001</v>
      </c>
      <c r="K497" s="776">
        <f t="shared" ref="K497:K499" si="727">SUM(E497:J497)</f>
        <v>2920413.853978205</v>
      </c>
      <c r="L497" s="776">
        <f t="shared" ref="L497:L499" si="728">K497*15%</f>
        <v>438062.07809673075</v>
      </c>
      <c r="M497" s="776">
        <f t="shared" ref="M497:M499" si="729">K497+L497</f>
        <v>3358475.9320749356</v>
      </c>
      <c r="N497" s="776">
        <f t="shared" ref="N497:N499" si="730">K497-I497</f>
        <v>2906555.348228205</v>
      </c>
      <c r="O497" s="776">
        <f t="shared" ref="O497:O499" si="731">$L$6*N497</f>
        <v>435983.30223423074</v>
      </c>
      <c r="P497" s="776">
        <f t="shared" ref="P497:P499" si="732">N497+O497</f>
        <v>3342538.6504624356</v>
      </c>
      <c r="Q497" s="776">
        <f>NCong!N543+NCong!N585</f>
        <v>79442.000000000015</v>
      </c>
    </row>
    <row r="498" spans="1:17" s="769" customFormat="1">
      <c r="A498" s="771">
        <v>2</v>
      </c>
      <c r="B498" s="774" t="s">
        <v>737</v>
      </c>
      <c r="C498" s="800" t="s">
        <v>51</v>
      </c>
      <c r="D498" s="801" t="s">
        <v>31</v>
      </c>
      <c r="E498" s="776">
        <f>NCong!L543+NCong!L585</f>
        <v>2790002.0279999999</v>
      </c>
      <c r="F498" s="776"/>
      <c r="G498" s="776">
        <f>G497</f>
        <v>15622.70412820513</v>
      </c>
      <c r="H498" s="776">
        <f t="shared" ref="H498:J498" si="733">H497</f>
        <v>27173.82</v>
      </c>
      <c r="I498" s="776">
        <f t="shared" si="733"/>
        <v>13858.50575</v>
      </c>
      <c r="J498" s="776">
        <f t="shared" si="733"/>
        <v>31878.212100000001</v>
      </c>
      <c r="K498" s="776">
        <f t="shared" si="727"/>
        <v>2878535.2699782052</v>
      </c>
      <c r="L498" s="776">
        <f t="shared" si="728"/>
        <v>431780.29049673077</v>
      </c>
      <c r="M498" s="776">
        <f t="shared" si="729"/>
        <v>3310315.5604749359</v>
      </c>
      <c r="N498" s="776">
        <f t="shared" si="730"/>
        <v>2864676.7642282052</v>
      </c>
      <c r="O498" s="776">
        <f t="shared" si="731"/>
        <v>429701.51463423076</v>
      </c>
      <c r="P498" s="776">
        <f t="shared" si="732"/>
        <v>3294378.2788624358</v>
      </c>
      <c r="Q498" s="776">
        <f>NCong!O543+NCong!O585</f>
        <v>78264.576923076922</v>
      </c>
    </row>
    <row r="499" spans="1:17" s="769" customFormat="1">
      <c r="A499" s="771">
        <v>3</v>
      </c>
      <c r="B499" s="774" t="s">
        <v>738</v>
      </c>
      <c r="C499" s="800" t="s">
        <v>51</v>
      </c>
      <c r="D499" s="801" t="s">
        <v>31</v>
      </c>
      <c r="E499" s="776">
        <f>NCong!M543+NCong!M585</f>
        <v>3563504.8102500006</v>
      </c>
      <c r="F499" s="776"/>
      <c r="G499" s="776">
        <f>G498*1.3</f>
        <v>20309.51536666667</v>
      </c>
      <c r="H499" s="776">
        <f>H498</f>
        <v>27173.82</v>
      </c>
      <c r="I499" s="776">
        <f>I498*1.3</f>
        <v>18016.057475000001</v>
      </c>
      <c r="J499" s="776">
        <f>J498*1.3</f>
        <v>41441.675730000003</v>
      </c>
      <c r="K499" s="776">
        <f t="shared" si="727"/>
        <v>3670445.8788216668</v>
      </c>
      <c r="L499" s="776">
        <f t="shared" si="728"/>
        <v>550566.88182324998</v>
      </c>
      <c r="M499" s="776">
        <f t="shared" si="729"/>
        <v>4221012.7606449164</v>
      </c>
      <c r="N499" s="776">
        <f t="shared" si="730"/>
        <v>3652429.8213466667</v>
      </c>
      <c r="O499" s="776">
        <f t="shared" si="731"/>
        <v>547864.47320200002</v>
      </c>
      <c r="P499" s="776">
        <f t="shared" si="732"/>
        <v>4200294.294548667</v>
      </c>
      <c r="Q499" s="776">
        <f>NCong!P543+NCong!P585</f>
        <v>99983.653846153844</v>
      </c>
    </row>
    <row r="500" spans="1:17" s="769" customFormat="1" ht="14">
      <c r="A500" s="771" t="s">
        <v>235</v>
      </c>
      <c r="B500" s="774" t="s">
        <v>744</v>
      </c>
      <c r="C500" s="771"/>
      <c r="D500" s="771"/>
      <c r="E500" s="776"/>
      <c r="F500" s="776"/>
      <c r="G500" s="776"/>
      <c r="H500" s="776"/>
      <c r="I500" s="776"/>
      <c r="J500" s="776"/>
      <c r="K500" s="776"/>
      <c r="L500" s="776"/>
      <c r="M500" s="776"/>
      <c r="N500" s="776"/>
      <c r="O500" s="776"/>
      <c r="P500" s="776"/>
      <c r="Q500" s="776"/>
    </row>
    <row r="501" spans="1:17" s="769" customFormat="1">
      <c r="A501" s="771">
        <v>1</v>
      </c>
      <c r="B501" s="774" t="s">
        <v>736</v>
      </c>
      <c r="C501" s="800" t="s">
        <v>51</v>
      </c>
      <c r="D501" s="801" t="s">
        <v>31</v>
      </c>
      <c r="E501" s="776">
        <f>E497</f>
        <v>2831880.6119999997</v>
      </c>
      <c r="F501" s="776"/>
      <c r="G501" s="776">
        <f>G497*0.6</f>
        <v>9373.6224769230776</v>
      </c>
      <c r="H501" s="776">
        <f>H497*0.6-VLieu!J166</f>
        <v>7632.2919999999995</v>
      </c>
      <c r="I501" s="776">
        <f>I497*0.6</f>
        <v>8315.1034500000005</v>
      </c>
      <c r="J501" s="776">
        <f>J497*0.6</f>
        <v>19126.92726</v>
      </c>
      <c r="K501" s="776">
        <f t="shared" ref="K501:K503" si="734">SUM(E501:J501)</f>
        <v>2876328.5571869225</v>
      </c>
      <c r="L501" s="776">
        <f t="shared" ref="L501:L503" si="735">K501*15%</f>
        <v>431449.28357803839</v>
      </c>
      <c r="M501" s="776">
        <f t="shared" ref="M501:M503" si="736">K501+L501</f>
        <v>3307777.8407649607</v>
      </c>
      <c r="N501" s="776">
        <f t="shared" ref="N501:N503" si="737">K501-I501</f>
        <v>2868013.4537369227</v>
      </c>
      <c r="O501" s="776">
        <f t="shared" ref="O501:O503" si="738">$L$6*N501</f>
        <v>430202.01806053839</v>
      </c>
      <c r="P501" s="776">
        <f t="shared" ref="P501:P503" si="739">N501+O501</f>
        <v>3298215.4717974612</v>
      </c>
      <c r="Q501" s="776">
        <f>Q497</f>
        <v>79442.000000000015</v>
      </c>
    </row>
    <row r="502" spans="1:17" s="769" customFormat="1">
      <c r="A502" s="771">
        <v>2</v>
      </c>
      <c r="B502" s="774" t="s">
        <v>737</v>
      </c>
      <c r="C502" s="800" t="s">
        <v>51</v>
      </c>
      <c r="D502" s="801" t="s">
        <v>31</v>
      </c>
      <c r="E502" s="776">
        <f t="shared" ref="E502:E503" si="740">E498</f>
        <v>2790002.0279999999</v>
      </c>
      <c r="F502" s="776"/>
      <c r="G502" s="776">
        <f>G501</f>
        <v>9373.6224769230776</v>
      </c>
      <c r="H502" s="776">
        <f t="shared" ref="H502:J502" si="741">H501</f>
        <v>7632.2919999999995</v>
      </c>
      <c r="I502" s="776">
        <f t="shared" si="741"/>
        <v>8315.1034500000005</v>
      </c>
      <c r="J502" s="776">
        <f t="shared" si="741"/>
        <v>19126.92726</v>
      </c>
      <c r="K502" s="776">
        <f t="shared" si="734"/>
        <v>2834449.9731869227</v>
      </c>
      <c r="L502" s="776">
        <f t="shared" si="735"/>
        <v>425167.49597803841</v>
      </c>
      <c r="M502" s="776">
        <f t="shared" si="736"/>
        <v>3259617.469164961</v>
      </c>
      <c r="N502" s="776">
        <f t="shared" si="737"/>
        <v>2826134.8697369229</v>
      </c>
      <c r="O502" s="776">
        <f t="shared" si="738"/>
        <v>423920.23046053841</v>
      </c>
      <c r="P502" s="776">
        <f t="shared" si="739"/>
        <v>3250055.1001974614</v>
      </c>
      <c r="Q502" s="776">
        <f t="shared" ref="Q502:Q503" si="742">Q498</f>
        <v>78264.576923076922</v>
      </c>
    </row>
    <row r="503" spans="1:17" s="769" customFormat="1">
      <c r="A503" s="771">
        <v>3</v>
      </c>
      <c r="B503" s="774" t="s">
        <v>738</v>
      </c>
      <c r="C503" s="800" t="s">
        <v>51</v>
      </c>
      <c r="D503" s="801" t="s">
        <v>31</v>
      </c>
      <c r="E503" s="776">
        <f t="shared" si="740"/>
        <v>3563504.8102500006</v>
      </c>
      <c r="F503" s="776"/>
      <c r="G503" s="776">
        <f>G501*1.3</f>
        <v>12185.709220000001</v>
      </c>
      <c r="H503" s="776">
        <f>H501</f>
        <v>7632.2919999999995</v>
      </c>
      <c r="I503" s="776">
        <f>I501*1.3</f>
        <v>10809.634485</v>
      </c>
      <c r="J503" s="776">
        <f>J501*1.3</f>
        <v>24865.005438</v>
      </c>
      <c r="K503" s="776">
        <f t="shared" si="734"/>
        <v>3618997.4513930003</v>
      </c>
      <c r="L503" s="776">
        <f t="shared" si="735"/>
        <v>542849.61770895007</v>
      </c>
      <c r="M503" s="776">
        <f t="shared" si="736"/>
        <v>4161847.0691019502</v>
      </c>
      <c r="N503" s="776">
        <f t="shared" si="737"/>
        <v>3608187.8169080005</v>
      </c>
      <c r="O503" s="776">
        <f t="shared" si="738"/>
        <v>541228.17253620003</v>
      </c>
      <c r="P503" s="776">
        <f t="shared" si="739"/>
        <v>4149415.9894442004</v>
      </c>
      <c r="Q503" s="776">
        <f t="shared" si="742"/>
        <v>99983.653846153844</v>
      </c>
    </row>
    <row r="504" spans="1:17" s="780" customFormat="1" hidden="1">
      <c r="A504" s="777" t="str">
        <f>NCong!A543</f>
        <v>VIII.1</v>
      </c>
      <c r="B504" s="781" t="str">
        <f>NCong!B543</f>
        <v>CÁC NỘI DUNG THỰC HIỆN TẠI ĐỊA BÀN CẤP TỈNH</v>
      </c>
      <c r="C504" s="777" t="s">
        <v>51</v>
      </c>
      <c r="D504" s="778">
        <f>NCong!E543</f>
        <v>0</v>
      </c>
      <c r="E504" s="779">
        <f>NCong!K543</f>
        <v>2749969.3319999999</v>
      </c>
      <c r="F504" s="779"/>
      <c r="G504" s="779">
        <f>Dcu!L232</f>
        <v>15519.341371794873</v>
      </c>
      <c r="H504" s="779">
        <f>VLieu!J174</f>
        <v>26641</v>
      </c>
      <c r="I504" s="779">
        <f>Tbi!I151</f>
        <v>13858.50575</v>
      </c>
      <c r="J504" s="779">
        <f>Tbi!I158+Dcu!L231</f>
        <v>31844.822100000001</v>
      </c>
      <c r="K504" s="779">
        <f>SUM(E504:J504)</f>
        <v>2837833.0012217946</v>
      </c>
      <c r="L504" s="779">
        <f>$L$6*K504</f>
        <v>425674.95018326916</v>
      </c>
      <c r="M504" s="779">
        <f>K504+L504</f>
        <v>3263507.9514050637</v>
      </c>
      <c r="N504" s="779"/>
      <c r="O504" s="779"/>
      <c r="P504" s="779"/>
      <c r="Q504" s="779">
        <f>NCong!N543</f>
        <v>76912.000000000015</v>
      </c>
    </row>
    <row r="505" spans="1:17" s="780" customFormat="1" hidden="1">
      <c r="A505" s="777" t="str">
        <f>NCong!A585</f>
        <v>VIII.3</v>
      </c>
      <c r="B505" s="781" t="str">
        <f>NCong!B585</f>
        <v>CÁC NỘI DUNG THỰC HIỆN TẠI ĐỊA BÀN XÃ, PHƯỜNG,</v>
      </c>
      <c r="C505" s="777" t="s">
        <v>51</v>
      </c>
      <c r="D505" s="778">
        <f>NCong!E585</f>
        <v>0</v>
      </c>
      <c r="E505" s="779">
        <f>NCong!K585</f>
        <v>81911.280000000013</v>
      </c>
      <c r="F505" s="779"/>
      <c r="G505" s="779">
        <f>Dcu!J232</f>
        <v>103.36275641025641</v>
      </c>
      <c r="H505" s="779">
        <f>0.02*H504</f>
        <v>532.82000000000005</v>
      </c>
      <c r="I505" s="779"/>
      <c r="J505" s="779">
        <f>Dcu!J231</f>
        <v>33.39</v>
      </c>
      <c r="K505" s="779">
        <f>SUM(E505:J505)</f>
        <v>82580.85275641027</v>
      </c>
      <c r="L505" s="779">
        <f>$L$6*K505</f>
        <v>12387.12791346154</v>
      </c>
      <c r="M505" s="779">
        <f>K505+L505</f>
        <v>94967.980669871817</v>
      </c>
      <c r="N505" s="779"/>
      <c r="O505" s="779"/>
      <c r="P505" s="779"/>
      <c r="Q505" s="779">
        <f>NCong!N585</f>
        <v>2530</v>
      </c>
    </row>
    <row r="506" spans="1:17" s="780" customFormat="1">
      <c r="A506" s="777"/>
      <c r="B506" s="786" t="s">
        <v>773</v>
      </c>
      <c r="C506" s="777"/>
      <c r="D506" s="778"/>
      <c r="E506" s="779"/>
      <c r="F506" s="779"/>
      <c r="G506" s="779"/>
      <c r="H506" s="779"/>
      <c r="I506" s="779"/>
      <c r="J506" s="779"/>
      <c r="K506" s="779"/>
      <c r="L506" s="779"/>
      <c r="M506" s="779"/>
      <c r="N506" s="779"/>
      <c r="O506" s="779"/>
      <c r="P506" s="779"/>
      <c r="Q506" s="779"/>
    </row>
    <row r="507" spans="1:17" s="780" customFormat="1" ht="14">
      <c r="A507" s="771">
        <v>1</v>
      </c>
      <c r="B507" s="774" t="s">
        <v>248</v>
      </c>
      <c r="C507" s="771" t="s">
        <v>51</v>
      </c>
      <c r="D507" s="771" t="s">
        <v>31</v>
      </c>
      <c r="E507" s="779"/>
      <c r="F507" s="779"/>
      <c r="G507" s="779"/>
      <c r="H507" s="779"/>
      <c r="I507" s="779"/>
      <c r="J507" s="779"/>
      <c r="K507" s="779"/>
      <c r="L507" s="779"/>
      <c r="M507" s="779"/>
      <c r="N507" s="779"/>
      <c r="O507" s="779"/>
      <c r="P507" s="779"/>
      <c r="Q507" s="779"/>
    </row>
    <row r="508" spans="1:17" s="780" customFormat="1">
      <c r="A508" s="771">
        <v>1.1000000000000001</v>
      </c>
      <c r="B508" s="808" t="s">
        <v>771</v>
      </c>
      <c r="C508" s="804" t="s">
        <v>51</v>
      </c>
      <c r="D508" s="801" t="s">
        <v>31</v>
      </c>
      <c r="E508" s="779"/>
      <c r="F508" s="779"/>
      <c r="G508" s="779"/>
      <c r="H508" s="779"/>
      <c r="I508" s="779"/>
      <c r="J508" s="779"/>
      <c r="K508" s="779"/>
      <c r="L508" s="779"/>
      <c r="M508" s="779"/>
      <c r="N508" s="779"/>
      <c r="O508" s="779"/>
      <c r="P508" s="779"/>
      <c r="Q508" s="779"/>
    </row>
    <row r="509" spans="1:17" s="780" customFormat="1">
      <c r="A509" s="811" t="s">
        <v>767</v>
      </c>
      <c r="B509" s="810" t="s">
        <v>768</v>
      </c>
      <c r="C509" s="804" t="s">
        <v>51</v>
      </c>
      <c r="D509" s="801" t="s">
        <v>31</v>
      </c>
      <c r="E509" s="776">
        <f>NCong!M594</f>
        <v>1778523.1827000002</v>
      </c>
      <c r="F509" s="779"/>
      <c r="G509" s="776">
        <f>G497</f>
        <v>15622.70412820513</v>
      </c>
      <c r="H509" s="776">
        <f t="shared" ref="H509:J509" si="743">H497</f>
        <v>27173.82</v>
      </c>
      <c r="I509" s="776">
        <f t="shared" si="743"/>
        <v>13858.50575</v>
      </c>
      <c r="J509" s="776">
        <f t="shared" si="743"/>
        <v>31878.212100000001</v>
      </c>
      <c r="K509" s="776">
        <f t="shared" ref="K509:K511" si="744">SUM(E509:J509)</f>
        <v>1867056.4246782053</v>
      </c>
      <c r="L509" s="776">
        <f t="shared" ref="L509:L511" si="745">K509*15%</f>
        <v>280058.46370173077</v>
      </c>
      <c r="M509" s="776">
        <f t="shared" ref="M509:M511" si="746">K509+L509</f>
        <v>2147114.8883799361</v>
      </c>
      <c r="N509" s="776">
        <f t="shared" ref="N509:N511" si="747">K509-I509</f>
        <v>1853197.9189282053</v>
      </c>
      <c r="O509" s="776">
        <f t="shared" ref="O509:O511" si="748">$L$6*N509</f>
        <v>277979.68783923076</v>
      </c>
      <c r="P509" s="776">
        <f t="shared" ref="P509:P511" si="749">N509+O509</f>
        <v>2131177.606767436</v>
      </c>
      <c r="Q509" s="776">
        <f>NCong!P594</f>
        <v>50484.476307692312</v>
      </c>
    </row>
    <row r="510" spans="1:17" s="780" customFormat="1">
      <c r="A510" s="811" t="s">
        <v>767</v>
      </c>
      <c r="B510" s="810" t="s">
        <v>769</v>
      </c>
      <c r="C510" s="804" t="s">
        <v>51</v>
      </c>
      <c r="D510" s="801" t="s">
        <v>31</v>
      </c>
      <c r="E510" s="776">
        <f>NCong!N594</f>
        <v>1766614.3209000002</v>
      </c>
      <c r="F510" s="779"/>
      <c r="G510" s="776">
        <f t="shared" ref="G510:J511" si="750">G498</f>
        <v>15622.70412820513</v>
      </c>
      <c r="H510" s="776">
        <f t="shared" si="750"/>
        <v>27173.82</v>
      </c>
      <c r="I510" s="776">
        <f t="shared" si="750"/>
        <v>13858.50575</v>
      </c>
      <c r="J510" s="776">
        <f t="shared" si="750"/>
        <v>31878.212100000001</v>
      </c>
      <c r="K510" s="776">
        <f t="shared" si="744"/>
        <v>1855147.5628782052</v>
      </c>
      <c r="L510" s="776">
        <f t="shared" si="745"/>
        <v>278272.13443173078</v>
      </c>
      <c r="M510" s="776">
        <f t="shared" si="746"/>
        <v>2133419.6973099359</v>
      </c>
      <c r="N510" s="776">
        <f t="shared" si="747"/>
        <v>1841289.0571282052</v>
      </c>
      <c r="O510" s="776">
        <f t="shared" si="748"/>
        <v>276193.35856923077</v>
      </c>
      <c r="P510" s="776">
        <f t="shared" si="749"/>
        <v>2117482.4156974358</v>
      </c>
      <c r="Q510" s="776">
        <f>NCong!Q594</f>
        <v>50169.471846153843</v>
      </c>
    </row>
    <row r="511" spans="1:17" s="780" customFormat="1">
      <c r="A511" s="811" t="s">
        <v>767</v>
      </c>
      <c r="B511" s="810" t="s">
        <v>770</v>
      </c>
      <c r="C511" s="804" t="s">
        <v>51</v>
      </c>
      <c r="D511" s="801" t="s">
        <v>31</v>
      </c>
      <c r="E511" s="776">
        <f>NCong!O594</f>
        <v>2290018.0264500002</v>
      </c>
      <c r="F511" s="779"/>
      <c r="G511" s="776">
        <f t="shared" si="750"/>
        <v>20309.51536666667</v>
      </c>
      <c r="H511" s="776">
        <f t="shared" si="750"/>
        <v>27173.82</v>
      </c>
      <c r="I511" s="776">
        <f t="shared" si="750"/>
        <v>18016.057475000001</v>
      </c>
      <c r="J511" s="776">
        <f t="shared" si="750"/>
        <v>41441.675730000003</v>
      </c>
      <c r="K511" s="776">
        <f t="shared" si="744"/>
        <v>2396959.0950216665</v>
      </c>
      <c r="L511" s="776">
        <f t="shared" si="745"/>
        <v>359543.86425324995</v>
      </c>
      <c r="M511" s="776">
        <f t="shared" si="746"/>
        <v>2756502.9592749164</v>
      </c>
      <c r="N511" s="776">
        <f t="shared" si="747"/>
        <v>2378943.0375466663</v>
      </c>
      <c r="O511" s="776">
        <f t="shared" si="748"/>
        <v>356841.45563199994</v>
      </c>
      <c r="P511" s="776">
        <f t="shared" si="749"/>
        <v>2735784.4931786661</v>
      </c>
      <c r="Q511" s="776">
        <f>NCong!R594</f>
        <v>64999.670153846157</v>
      </c>
    </row>
    <row r="512" spans="1:17" s="780" customFormat="1">
      <c r="A512" s="771">
        <v>1.2</v>
      </c>
      <c r="B512" s="808" t="s">
        <v>772</v>
      </c>
      <c r="C512" s="804" t="s">
        <v>51</v>
      </c>
      <c r="D512" s="801" t="s">
        <v>31</v>
      </c>
      <c r="E512" s="779"/>
      <c r="F512" s="779"/>
      <c r="G512" s="779"/>
      <c r="H512" s="779"/>
      <c r="I512" s="779"/>
      <c r="J512" s="779"/>
      <c r="K512" s="779"/>
      <c r="L512" s="779"/>
      <c r="M512" s="779"/>
      <c r="N512" s="779"/>
      <c r="O512" s="779"/>
      <c r="P512" s="779"/>
      <c r="Q512" s="779"/>
    </row>
    <row r="513" spans="1:17" s="780" customFormat="1">
      <c r="A513" s="811" t="s">
        <v>767</v>
      </c>
      <c r="B513" s="810" t="s">
        <v>768</v>
      </c>
      <c r="C513" s="804" t="s">
        <v>51</v>
      </c>
      <c r="D513" s="801" t="s">
        <v>31</v>
      </c>
      <c r="E513" s="776">
        <f>E509</f>
        <v>1778523.1827000002</v>
      </c>
      <c r="F513" s="779"/>
      <c r="G513" s="776">
        <f>G501</f>
        <v>9373.6224769230776</v>
      </c>
      <c r="H513" s="776">
        <f t="shared" ref="H513:J513" si="751">H501</f>
        <v>7632.2919999999995</v>
      </c>
      <c r="I513" s="776">
        <f t="shared" si="751"/>
        <v>8315.1034500000005</v>
      </c>
      <c r="J513" s="776">
        <f t="shared" si="751"/>
        <v>19126.92726</v>
      </c>
      <c r="K513" s="776">
        <f t="shared" ref="K513:K515" si="752">SUM(E513:J513)</f>
        <v>1822971.1278869233</v>
      </c>
      <c r="L513" s="776">
        <f t="shared" ref="L513:L515" si="753">K513*15%</f>
        <v>273445.66918303847</v>
      </c>
      <c r="M513" s="776">
        <f t="shared" ref="M513:M515" si="754">K513+L513</f>
        <v>2096416.7970699617</v>
      </c>
      <c r="N513" s="776">
        <f t="shared" ref="N513:N515" si="755">K513-I513</f>
        <v>1814656.0244369232</v>
      </c>
      <c r="O513" s="776">
        <f t="shared" ref="O513:O515" si="756">$L$6*N513</f>
        <v>272198.40366553847</v>
      </c>
      <c r="P513" s="776">
        <f t="shared" ref="P513:P515" si="757">N513+O513</f>
        <v>2086854.4281024616</v>
      </c>
      <c r="Q513" s="776">
        <f>Q509</f>
        <v>50484.476307692312</v>
      </c>
    </row>
    <row r="514" spans="1:17" s="780" customFormat="1">
      <c r="A514" s="811" t="s">
        <v>767</v>
      </c>
      <c r="B514" s="810" t="s">
        <v>769</v>
      </c>
      <c r="C514" s="804" t="s">
        <v>51</v>
      </c>
      <c r="D514" s="801" t="s">
        <v>31</v>
      </c>
      <c r="E514" s="776">
        <f t="shared" ref="E514:E515" si="758">E510</f>
        <v>1766614.3209000002</v>
      </c>
      <c r="F514" s="779"/>
      <c r="G514" s="776">
        <f t="shared" ref="G514:J515" si="759">G502</f>
        <v>9373.6224769230776</v>
      </c>
      <c r="H514" s="776">
        <f t="shared" si="759"/>
        <v>7632.2919999999995</v>
      </c>
      <c r="I514" s="776">
        <f t="shared" si="759"/>
        <v>8315.1034500000005</v>
      </c>
      <c r="J514" s="776">
        <f t="shared" si="759"/>
        <v>19126.92726</v>
      </c>
      <c r="K514" s="776">
        <f t="shared" si="752"/>
        <v>1811062.2660869232</v>
      </c>
      <c r="L514" s="776">
        <f t="shared" si="753"/>
        <v>271659.33991303848</v>
      </c>
      <c r="M514" s="776">
        <f t="shared" si="754"/>
        <v>2082721.6059999617</v>
      </c>
      <c r="N514" s="776">
        <f t="shared" si="755"/>
        <v>1802747.1626369231</v>
      </c>
      <c r="O514" s="776">
        <f t="shared" si="756"/>
        <v>270412.07439553848</v>
      </c>
      <c r="P514" s="776">
        <f t="shared" si="757"/>
        <v>2073159.2370324617</v>
      </c>
      <c r="Q514" s="776">
        <f t="shared" ref="Q514:Q515" si="760">Q510</f>
        <v>50169.471846153843</v>
      </c>
    </row>
    <row r="515" spans="1:17" s="780" customFormat="1">
      <c r="A515" s="811" t="s">
        <v>767</v>
      </c>
      <c r="B515" s="810" t="s">
        <v>770</v>
      </c>
      <c r="C515" s="804" t="s">
        <v>51</v>
      </c>
      <c r="D515" s="801" t="s">
        <v>31</v>
      </c>
      <c r="E515" s="776">
        <f t="shared" si="758"/>
        <v>2290018.0264500002</v>
      </c>
      <c r="F515" s="779"/>
      <c r="G515" s="776">
        <f t="shared" si="759"/>
        <v>12185.709220000001</v>
      </c>
      <c r="H515" s="776">
        <f t="shared" si="759"/>
        <v>7632.2919999999995</v>
      </c>
      <c r="I515" s="776">
        <f t="shared" si="759"/>
        <v>10809.634485</v>
      </c>
      <c r="J515" s="776">
        <f t="shared" si="759"/>
        <v>24865.005438</v>
      </c>
      <c r="K515" s="776">
        <f t="shared" si="752"/>
        <v>2345510.667593</v>
      </c>
      <c r="L515" s="776">
        <f t="shared" si="753"/>
        <v>351826.60013894999</v>
      </c>
      <c r="M515" s="776">
        <f t="shared" si="754"/>
        <v>2697337.2677319502</v>
      </c>
      <c r="N515" s="776">
        <f t="shared" si="755"/>
        <v>2334701.0331080002</v>
      </c>
      <c r="O515" s="776">
        <f t="shared" si="756"/>
        <v>350205.1549662</v>
      </c>
      <c r="P515" s="776">
        <f t="shared" si="757"/>
        <v>2684906.1880742004</v>
      </c>
      <c r="Q515" s="776">
        <f t="shared" si="760"/>
        <v>64999.670153846157</v>
      </c>
    </row>
    <row r="516" spans="1:17" s="780" customFormat="1" ht="14">
      <c r="A516" s="771">
        <v>2</v>
      </c>
      <c r="B516" s="774" t="s">
        <v>249</v>
      </c>
      <c r="C516" s="771" t="s">
        <v>51</v>
      </c>
      <c r="D516" s="771" t="s">
        <v>31</v>
      </c>
      <c r="E516" s="779"/>
      <c r="F516" s="779"/>
      <c r="G516" s="779"/>
      <c r="H516" s="779"/>
      <c r="I516" s="779"/>
      <c r="J516" s="779"/>
      <c r="K516" s="779"/>
      <c r="L516" s="779"/>
      <c r="M516" s="779"/>
      <c r="N516" s="779"/>
      <c r="O516" s="779"/>
      <c r="P516" s="779"/>
      <c r="Q516" s="779"/>
    </row>
    <row r="517" spans="1:17" s="780" customFormat="1">
      <c r="A517" s="771">
        <v>2.1</v>
      </c>
      <c r="B517" s="808" t="s">
        <v>771</v>
      </c>
      <c r="C517" s="804" t="s">
        <v>51</v>
      </c>
      <c r="D517" s="801" t="s">
        <v>31</v>
      </c>
      <c r="E517" s="779"/>
      <c r="F517" s="779"/>
      <c r="G517" s="779"/>
      <c r="H517" s="779"/>
      <c r="I517" s="779"/>
      <c r="J517" s="779"/>
      <c r="K517" s="779"/>
      <c r="L517" s="779"/>
      <c r="M517" s="779"/>
      <c r="N517" s="779"/>
      <c r="O517" s="779"/>
      <c r="P517" s="779"/>
      <c r="Q517" s="779"/>
    </row>
    <row r="518" spans="1:17" s="780" customFormat="1">
      <c r="A518" s="811" t="s">
        <v>767</v>
      </c>
      <c r="B518" s="810" t="s">
        <v>768</v>
      </c>
      <c r="C518" s="804" t="s">
        <v>51</v>
      </c>
      <c r="D518" s="801" t="s">
        <v>31</v>
      </c>
      <c r="E518" s="776">
        <f>NCong!M595</f>
        <v>1775794.7295000001</v>
      </c>
      <c r="F518" s="779"/>
      <c r="G518" s="776">
        <f>G509</f>
        <v>15622.70412820513</v>
      </c>
      <c r="H518" s="776">
        <f t="shared" ref="H518:J518" si="761">H509</f>
        <v>27173.82</v>
      </c>
      <c r="I518" s="776">
        <f t="shared" si="761"/>
        <v>13858.50575</v>
      </c>
      <c r="J518" s="776">
        <f t="shared" si="761"/>
        <v>31878.212100000001</v>
      </c>
      <c r="K518" s="776">
        <f t="shared" ref="K518:K520" si="762">SUM(E518:J518)</f>
        <v>1864327.9714782052</v>
      </c>
      <c r="L518" s="776">
        <f t="shared" ref="L518:L520" si="763">K518*15%</f>
        <v>279649.19572173076</v>
      </c>
      <c r="M518" s="776">
        <f t="shared" ref="M518:M520" si="764">K518+L518</f>
        <v>2143977.1671999358</v>
      </c>
      <c r="N518" s="776">
        <f t="shared" ref="N518:N520" si="765">K518-I518</f>
        <v>1850469.4657282052</v>
      </c>
      <c r="O518" s="776">
        <f t="shared" ref="O518:O520" si="766">$L$6*N518</f>
        <v>277570.41985923075</v>
      </c>
      <c r="P518" s="776">
        <f t="shared" ref="P518:P520" si="767">N518+O518</f>
        <v>2128039.8855874361</v>
      </c>
      <c r="Q518" s="776">
        <f>NCong!P595</f>
        <v>50410.833846153851</v>
      </c>
    </row>
    <row r="519" spans="1:17" s="780" customFormat="1">
      <c r="A519" s="811" t="s">
        <v>767</v>
      </c>
      <c r="B519" s="810" t="s">
        <v>769</v>
      </c>
      <c r="C519" s="804" t="s">
        <v>51</v>
      </c>
      <c r="D519" s="801" t="s">
        <v>31</v>
      </c>
      <c r="E519" s="776">
        <f>NCong!N595</f>
        <v>1765033.0582500002</v>
      </c>
      <c r="F519" s="779"/>
      <c r="G519" s="776">
        <f t="shared" ref="G519:J520" si="768">G510</f>
        <v>15622.70412820513</v>
      </c>
      <c r="H519" s="776">
        <f t="shared" si="768"/>
        <v>27173.82</v>
      </c>
      <c r="I519" s="776">
        <f t="shared" si="768"/>
        <v>13858.50575</v>
      </c>
      <c r="J519" s="776">
        <f t="shared" si="768"/>
        <v>31878.212100000001</v>
      </c>
      <c r="K519" s="776">
        <f t="shared" si="762"/>
        <v>1853566.3002282053</v>
      </c>
      <c r="L519" s="776">
        <f t="shared" si="763"/>
        <v>278034.94503423077</v>
      </c>
      <c r="M519" s="776">
        <f t="shared" si="764"/>
        <v>2131601.2452624361</v>
      </c>
      <c r="N519" s="776">
        <f t="shared" si="765"/>
        <v>1839707.7944782053</v>
      </c>
      <c r="O519" s="776">
        <f t="shared" si="766"/>
        <v>275956.16917173075</v>
      </c>
      <c r="P519" s="776">
        <f t="shared" si="767"/>
        <v>2115663.963649936</v>
      </c>
      <c r="Q519" s="776">
        <f>NCong!Q595</f>
        <v>50126.792692307688</v>
      </c>
    </row>
    <row r="520" spans="1:17" s="780" customFormat="1">
      <c r="A520" s="811" t="s">
        <v>767</v>
      </c>
      <c r="B520" s="810" t="s">
        <v>770</v>
      </c>
      <c r="C520" s="804" t="s">
        <v>51</v>
      </c>
      <c r="D520" s="801" t="s">
        <v>31</v>
      </c>
      <c r="E520" s="776">
        <f>NCong!O595</f>
        <v>2286359.4187500002</v>
      </c>
      <c r="F520" s="779"/>
      <c r="G520" s="776">
        <f t="shared" si="768"/>
        <v>20309.51536666667</v>
      </c>
      <c r="H520" s="776">
        <f t="shared" si="768"/>
        <v>27173.82</v>
      </c>
      <c r="I520" s="776">
        <f t="shared" si="768"/>
        <v>18016.057475000001</v>
      </c>
      <c r="J520" s="776">
        <f t="shared" si="768"/>
        <v>41441.675730000003</v>
      </c>
      <c r="K520" s="776">
        <f t="shared" si="762"/>
        <v>2393300.4873216664</v>
      </c>
      <c r="L520" s="776">
        <f t="shared" si="763"/>
        <v>358995.07309824997</v>
      </c>
      <c r="M520" s="776">
        <f t="shared" si="764"/>
        <v>2752295.5604199162</v>
      </c>
      <c r="N520" s="776">
        <f t="shared" si="765"/>
        <v>2375284.4298466663</v>
      </c>
      <c r="O520" s="776">
        <f t="shared" si="766"/>
        <v>356292.66447699995</v>
      </c>
      <c r="P520" s="776">
        <f t="shared" si="767"/>
        <v>2731577.0943236663</v>
      </c>
      <c r="Q520" s="776">
        <f>NCong!R595</f>
        <v>64900.922307692308</v>
      </c>
    </row>
    <row r="521" spans="1:17" s="780" customFormat="1">
      <c r="A521" s="771">
        <v>2.2000000000000002</v>
      </c>
      <c r="B521" s="808" t="s">
        <v>772</v>
      </c>
      <c r="C521" s="804" t="s">
        <v>51</v>
      </c>
      <c r="D521" s="801" t="s">
        <v>31</v>
      </c>
      <c r="E521" s="779"/>
      <c r="F521" s="779"/>
      <c r="G521" s="776"/>
      <c r="H521" s="776"/>
      <c r="I521" s="776"/>
      <c r="J521" s="776"/>
      <c r="K521" s="779"/>
      <c r="L521" s="779"/>
      <c r="M521" s="779"/>
      <c r="N521" s="779"/>
      <c r="O521" s="779"/>
      <c r="P521" s="779"/>
      <c r="Q521" s="779"/>
    </row>
    <row r="522" spans="1:17" s="780" customFormat="1">
      <c r="A522" s="811" t="s">
        <v>767</v>
      </c>
      <c r="B522" s="810" t="s">
        <v>768</v>
      </c>
      <c r="C522" s="804" t="s">
        <v>51</v>
      </c>
      <c r="D522" s="801" t="s">
        <v>31</v>
      </c>
      <c r="E522" s="776">
        <f>E518</f>
        <v>1775794.7295000001</v>
      </c>
      <c r="F522" s="779"/>
      <c r="G522" s="776">
        <f t="shared" ref="G522:J524" si="769">G513</f>
        <v>9373.6224769230776</v>
      </c>
      <c r="H522" s="776">
        <f t="shared" si="769"/>
        <v>7632.2919999999995</v>
      </c>
      <c r="I522" s="776">
        <f t="shared" si="769"/>
        <v>8315.1034500000005</v>
      </c>
      <c r="J522" s="776">
        <f t="shared" si="769"/>
        <v>19126.92726</v>
      </c>
      <c r="K522" s="776">
        <f t="shared" ref="K522:K524" si="770">SUM(E522:J522)</f>
        <v>1820242.6746869232</v>
      </c>
      <c r="L522" s="776">
        <f t="shared" ref="L522:L524" si="771">K522*15%</f>
        <v>273036.40120303846</v>
      </c>
      <c r="M522" s="776">
        <f t="shared" ref="M522:M524" si="772">K522+L522</f>
        <v>2093279.0758899616</v>
      </c>
      <c r="N522" s="776">
        <f t="shared" ref="N522:N524" si="773">K522-I522</f>
        <v>1811927.5712369231</v>
      </c>
      <c r="O522" s="776">
        <f t="shared" ref="O522:O524" si="774">$L$6*N522</f>
        <v>271789.13568553847</v>
      </c>
      <c r="P522" s="776">
        <f t="shared" ref="P522:P524" si="775">N522+O522</f>
        <v>2083716.7069224615</v>
      </c>
      <c r="Q522" s="776">
        <f>Q518</f>
        <v>50410.833846153851</v>
      </c>
    </row>
    <row r="523" spans="1:17" s="780" customFormat="1">
      <c r="A523" s="811" t="s">
        <v>767</v>
      </c>
      <c r="B523" s="810" t="s">
        <v>769</v>
      </c>
      <c r="C523" s="804" t="s">
        <v>51</v>
      </c>
      <c r="D523" s="801" t="s">
        <v>31</v>
      </c>
      <c r="E523" s="776">
        <f t="shared" ref="E523:E524" si="776">E519</f>
        <v>1765033.0582500002</v>
      </c>
      <c r="F523" s="779"/>
      <c r="G523" s="776">
        <f t="shared" si="769"/>
        <v>9373.6224769230776</v>
      </c>
      <c r="H523" s="776">
        <f t="shared" si="769"/>
        <v>7632.2919999999995</v>
      </c>
      <c r="I523" s="776">
        <f t="shared" si="769"/>
        <v>8315.1034500000005</v>
      </c>
      <c r="J523" s="776">
        <f t="shared" si="769"/>
        <v>19126.92726</v>
      </c>
      <c r="K523" s="776">
        <f t="shared" si="770"/>
        <v>1809481.0034369233</v>
      </c>
      <c r="L523" s="776">
        <f t="shared" si="771"/>
        <v>271422.15051553847</v>
      </c>
      <c r="M523" s="776">
        <f t="shared" si="772"/>
        <v>2080903.1539524617</v>
      </c>
      <c r="N523" s="776">
        <f t="shared" si="773"/>
        <v>1801165.8999869232</v>
      </c>
      <c r="O523" s="776">
        <f t="shared" si="774"/>
        <v>270174.88499803847</v>
      </c>
      <c r="P523" s="776">
        <f t="shared" si="775"/>
        <v>2071340.7849849616</v>
      </c>
      <c r="Q523" s="776">
        <f t="shared" ref="Q523:Q524" si="777">Q519</f>
        <v>50126.792692307688</v>
      </c>
    </row>
    <row r="524" spans="1:17" s="780" customFormat="1">
      <c r="A524" s="811" t="s">
        <v>767</v>
      </c>
      <c r="B524" s="810" t="s">
        <v>770</v>
      </c>
      <c r="C524" s="804" t="s">
        <v>51</v>
      </c>
      <c r="D524" s="801" t="s">
        <v>31</v>
      </c>
      <c r="E524" s="776">
        <f t="shared" si="776"/>
        <v>2286359.4187500002</v>
      </c>
      <c r="F524" s="779"/>
      <c r="G524" s="776">
        <f t="shared" si="769"/>
        <v>12185.709220000001</v>
      </c>
      <c r="H524" s="776">
        <f t="shared" si="769"/>
        <v>7632.2919999999995</v>
      </c>
      <c r="I524" s="776">
        <f t="shared" si="769"/>
        <v>10809.634485</v>
      </c>
      <c r="J524" s="776">
        <f t="shared" si="769"/>
        <v>24865.005438</v>
      </c>
      <c r="K524" s="776">
        <f t="shared" si="770"/>
        <v>2341852.0598929999</v>
      </c>
      <c r="L524" s="776">
        <f t="shared" si="771"/>
        <v>351277.80898395</v>
      </c>
      <c r="M524" s="776">
        <f t="shared" si="772"/>
        <v>2693129.8688769499</v>
      </c>
      <c r="N524" s="776">
        <f t="shared" si="773"/>
        <v>2331042.4254080001</v>
      </c>
      <c r="O524" s="776">
        <f t="shared" si="774"/>
        <v>349656.36381120002</v>
      </c>
      <c r="P524" s="776">
        <f t="shared" si="775"/>
        <v>2680698.7892192001</v>
      </c>
      <c r="Q524" s="776">
        <f t="shared" si="777"/>
        <v>64900.922307692308</v>
      </c>
    </row>
    <row r="525" spans="1:17" s="780" customFormat="1">
      <c r="A525" s="771">
        <v>3</v>
      </c>
      <c r="B525" s="774" t="s">
        <v>250</v>
      </c>
      <c r="C525" s="771" t="s">
        <v>51</v>
      </c>
      <c r="D525" s="771" t="s">
        <v>31</v>
      </c>
      <c r="E525" s="779"/>
      <c r="F525" s="779"/>
      <c r="G525" s="779"/>
      <c r="H525" s="779"/>
      <c r="I525" s="779"/>
      <c r="J525" s="779"/>
      <c r="K525" s="779"/>
      <c r="L525" s="779"/>
      <c r="M525" s="779"/>
      <c r="N525" s="779"/>
      <c r="O525" s="779"/>
      <c r="P525" s="779"/>
      <c r="Q525" s="779"/>
    </row>
    <row r="526" spans="1:17" s="780" customFormat="1">
      <c r="A526" s="771">
        <v>3.1</v>
      </c>
      <c r="B526" s="808" t="s">
        <v>771</v>
      </c>
      <c r="C526" s="804" t="s">
        <v>51</v>
      </c>
      <c r="D526" s="801" t="s">
        <v>31</v>
      </c>
      <c r="E526" s="779"/>
      <c r="F526" s="779"/>
      <c r="G526" s="779"/>
      <c r="H526" s="779"/>
      <c r="I526" s="779"/>
      <c r="J526" s="779"/>
      <c r="K526" s="779"/>
      <c r="L526" s="779"/>
      <c r="M526" s="779"/>
      <c r="N526" s="779"/>
      <c r="O526" s="779"/>
      <c r="P526" s="779"/>
      <c r="Q526" s="779"/>
    </row>
    <row r="527" spans="1:17" s="780" customFormat="1">
      <c r="A527" s="811" t="s">
        <v>767</v>
      </c>
      <c r="B527" s="810" t="s">
        <v>768</v>
      </c>
      <c r="C527" s="804" t="s">
        <v>51</v>
      </c>
      <c r="D527" s="801" t="s">
        <v>31</v>
      </c>
      <c r="E527" s="776">
        <f>NCong!M596</f>
        <v>1772485.11</v>
      </c>
      <c r="F527" s="779"/>
      <c r="G527" s="776">
        <f>G518</f>
        <v>15622.70412820513</v>
      </c>
      <c r="H527" s="776">
        <f t="shared" ref="H527:J527" si="778">H518</f>
        <v>27173.82</v>
      </c>
      <c r="I527" s="776">
        <f t="shared" si="778"/>
        <v>13858.50575</v>
      </c>
      <c r="J527" s="776">
        <f t="shared" si="778"/>
        <v>31878.212100000001</v>
      </c>
      <c r="K527" s="776">
        <f t="shared" ref="K527:K533" si="779">SUM(E527:J527)</f>
        <v>1861018.3519782051</v>
      </c>
      <c r="L527" s="776">
        <f t="shared" ref="L527:L533" si="780">K527*15%</f>
        <v>279152.75279673078</v>
      </c>
      <c r="M527" s="776">
        <f t="shared" ref="M527:M533" si="781">K527+L527</f>
        <v>2140171.1047749361</v>
      </c>
      <c r="N527" s="776">
        <f t="shared" ref="N527:N533" si="782">K527-I527</f>
        <v>1847159.8462282051</v>
      </c>
      <c r="O527" s="776">
        <f t="shared" ref="O527:O533" si="783">$L$6*N527</f>
        <v>277073.97693423077</v>
      </c>
      <c r="P527" s="776">
        <f t="shared" ref="P527:P533" si="784">N527+O527</f>
        <v>2124233.823162436</v>
      </c>
      <c r="Q527" s="779">
        <f>NCong!P596</f>
        <v>50375.024615384616</v>
      </c>
    </row>
    <row r="528" spans="1:17" s="780" customFormat="1">
      <c r="A528" s="811" t="s">
        <v>767</v>
      </c>
      <c r="B528" s="810" t="s">
        <v>769</v>
      </c>
      <c r="C528" s="804" t="s">
        <v>51</v>
      </c>
      <c r="D528" s="801" t="s">
        <v>31</v>
      </c>
      <c r="E528" s="776">
        <f>NCong!N596</f>
        <v>1753817.1255000003</v>
      </c>
      <c r="F528" s="779"/>
      <c r="G528" s="776">
        <f t="shared" ref="G528:J529" si="785">G519</f>
        <v>15622.70412820513</v>
      </c>
      <c r="H528" s="776">
        <f t="shared" si="785"/>
        <v>27173.82</v>
      </c>
      <c r="I528" s="776">
        <f t="shared" si="785"/>
        <v>13858.50575</v>
      </c>
      <c r="J528" s="776">
        <f t="shared" si="785"/>
        <v>31878.212100000001</v>
      </c>
      <c r="K528" s="776">
        <f t="shared" si="779"/>
        <v>1842350.3674782054</v>
      </c>
      <c r="L528" s="776">
        <f t="shared" si="780"/>
        <v>276352.55512173078</v>
      </c>
      <c r="M528" s="776">
        <f t="shared" si="781"/>
        <v>2118702.9225999359</v>
      </c>
      <c r="N528" s="776">
        <f t="shared" si="782"/>
        <v>1828491.8617282053</v>
      </c>
      <c r="O528" s="776">
        <f t="shared" si="783"/>
        <v>274273.77925923077</v>
      </c>
      <c r="P528" s="776">
        <f t="shared" si="784"/>
        <v>2102765.6409874363</v>
      </c>
      <c r="Q528" s="779">
        <f>NCong!Q596</f>
        <v>49824.06846153846</v>
      </c>
    </row>
    <row r="529" spans="1:17" s="780" customFormat="1">
      <c r="A529" s="811" t="s">
        <v>767</v>
      </c>
      <c r="B529" s="810" t="s">
        <v>770</v>
      </c>
      <c r="C529" s="804" t="s">
        <v>51</v>
      </c>
      <c r="D529" s="801" t="s">
        <v>31</v>
      </c>
      <c r="E529" s="776">
        <f>NCong!O596</f>
        <v>2276452.1917500007</v>
      </c>
      <c r="F529" s="779"/>
      <c r="G529" s="776">
        <f t="shared" si="785"/>
        <v>20309.51536666667</v>
      </c>
      <c r="H529" s="776">
        <f t="shared" si="785"/>
        <v>27173.82</v>
      </c>
      <c r="I529" s="776">
        <f t="shared" si="785"/>
        <v>18016.057475000001</v>
      </c>
      <c r="J529" s="776">
        <f t="shared" si="785"/>
        <v>41441.675730000003</v>
      </c>
      <c r="K529" s="776">
        <f t="shared" si="779"/>
        <v>2383393.260321667</v>
      </c>
      <c r="L529" s="776">
        <f t="shared" si="780"/>
        <v>357508.98904825002</v>
      </c>
      <c r="M529" s="776">
        <f t="shared" si="781"/>
        <v>2740902.249369917</v>
      </c>
      <c r="N529" s="776">
        <f t="shared" si="782"/>
        <v>2365377.2028466668</v>
      </c>
      <c r="O529" s="776">
        <f t="shared" si="783"/>
        <v>354806.58042700001</v>
      </c>
      <c r="P529" s="776">
        <f t="shared" si="784"/>
        <v>2720183.7832736666</v>
      </c>
      <c r="Q529" s="779">
        <f>NCong!R596</f>
        <v>64687.040000000001</v>
      </c>
    </row>
    <row r="530" spans="1:17" s="780" customFormat="1">
      <c r="A530" s="771">
        <v>3.2</v>
      </c>
      <c r="B530" s="808" t="s">
        <v>772</v>
      </c>
      <c r="C530" s="804" t="s">
        <v>51</v>
      </c>
      <c r="D530" s="801" t="s">
        <v>31</v>
      </c>
      <c r="E530" s="779"/>
      <c r="F530" s="779"/>
      <c r="G530" s="776"/>
      <c r="H530" s="776"/>
      <c r="I530" s="776"/>
      <c r="J530" s="776"/>
      <c r="K530" s="776"/>
      <c r="L530" s="776"/>
      <c r="M530" s="776"/>
      <c r="N530" s="776"/>
      <c r="O530" s="776"/>
      <c r="P530" s="776"/>
      <c r="Q530" s="779"/>
    </row>
    <row r="531" spans="1:17" s="780" customFormat="1">
      <c r="A531" s="811" t="s">
        <v>767</v>
      </c>
      <c r="B531" s="810" t="s">
        <v>768</v>
      </c>
      <c r="C531" s="804" t="s">
        <v>51</v>
      </c>
      <c r="D531" s="801" t="s">
        <v>31</v>
      </c>
      <c r="E531" s="779">
        <f>E527</f>
        <v>1772485.11</v>
      </c>
      <c r="F531" s="779"/>
      <c r="G531" s="776">
        <f t="shared" ref="G531:J533" si="786">G522</f>
        <v>9373.6224769230776</v>
      </c>
      <c r="H531" s="776">
        <f t="shared" si="786"/>
        <v>7632.2919999999995</v>
      </c>
      <c r="I531" s="776">
        <f t="shared" si="786"/>
        <v>8315.1034500000005</v>
      </c>
      <c r="J531" s="776">
        <f t="shared" si="786"/>
        <v>19126.92726</v>
      </c>
      <c r="K531" s="776">
        <f t="shared" si="779"/>
        <v>1816933.0551869231</v>
      </c>
      <c r="L531" s="776">
        <f t="shared" si="780"/>
        <v>272539.95827803848</v>
      </c>
      <c r="M531" s="776">
        <f t="shared" si="781"/>
        <v>2089473.0134649617</v>
      </c>
      <c r="N531" s="776">
        <f t="shared" si="782"/>
        <v>1808617.9517369231</v>
      </c>
      <c r="O531" s="776">
        <f t="shared" si="783"/>
        <v>271292.69276053843</v>
      </c>
      <c r="P531" s="776">
        <f t="shared" si="784"/>
        <v>2079910.6444974616</v>
      </c>
      <c r="Q531" s="779">
        <f>Q527</f>
        <v>50375.024615384616</v>
      </c>
    </row>
    <row r="532" spans="1:17" s="780" customFormat="1">
      <c r="A532" s="811" t="s">
        <v>767</v>
      </c>
      <c r="B532" s="810" t="s">
        <v>769</v>
      </c>
      <c r="C532" s="804" t="s">
        <v>51</v>
      </c>
      <c r="D532" s="801" t="s">
        <v>31</v>
      </c>
      <c r="E532" s="779">
        <f t="shared" ref="E532:E533" si="787">E528</f>
        <v>1753817.1255000003</v>
      </c>
      <c r="F532" s="779"/>
      <c r="G532" s="776">
        <f t="shared" si="786"/>
        <v>9373.6224769230776</v>
      </c>
      <c r="H532" s="776">
        <f t="shared" si="786"/>
        <v>7632.2919999999995</v>
      </c>
      <c r="I532" s="776">
        <f t="shared" si="786"/>
        <v>8315.1034500000005</v>
      </c>
      <c r="J532" s="776">
        <f t="shared" si="786"/>
        <v>19126.92726</v>
      </c>
      <c r="K532" s="776">
        <f t="shared" si="779"/>
        <v>1798265.0706869233</v>
      </c>
      <c r="L532" s="776">
        <f t="shared" si="780"/>
        <v>269739.76060303848</v>
      </c>
      <c r="M532" s="776">
        <f t="shared" si="781"/>
        <v>2068004.8312899619</v>
      </c>
      <c r="N532" s="776">
        <f t="shared" si="782"/>
        <v>1789949.9672369233</v>
      </c>
      <c r="O532" s="776">
        <f t="shared" si="783"/>
        <v>268492.49508553848</v>
      </c>
      <c r="P532" s="776">
        <f t="shared" si="784"/>
        <v>2058442.4623224619</v>
      </c>
      <c r="Q532" s="779">
        <f t="shared" ref="Q532:Q533" si="788">Q528</f>
        <v>49824.06846153846</v>
      </c>
    </row>
    <row r="533" spans="1:17" s="780" customFormat="1">
      <c r="A533" s="811" t="s">
        <v>767</v>
      </c>
      <c r="B533" s="810" t="s">
        <v>770</v>
      </c>
      <c r="C533" s="804" t="s">
        <v>51</v>
      </c>
      <c r="D533" s="801" t="s">
        <v>31</v>
      </c>
      <c r="E533" s="779">
        <f t="shared" si="787"/>
        <v>2276452.1917500007</v>
      </c>
      <c r="F533" s="779"/>
      <c r="G533" s="776">
        <f t="shared" si="786"/>
        <v>12185.709220000001</v>
      </c>
      <c r="H533" s="776">
        <f t="shared" si="786"/>
        <v>7632.2919999999995</v>
      </c>
      <c r="I533" s="776">
        <f t="shared" si="786"/>
        <v>10809.634485</v>
      </c>
      <c r="J533" s="776">
        <f t="shared" si="786"/>
        <v>24865.005438</v>
      </c>
      <c r="K533" s="776">
        <f t="shared" si="779"/>
        <v>2331944.8328930004</v>
      </c>
      <c r="L533" s="776">
        <f t="shared" si="780"/>
        <v>349791.72493395006</v>
      </c>
      <c r="M533" s="776">
        <f t="shared" si="781"/>
        <v>2681736.5578269507</v>
      </c>
      <c r="N533" s="776">
        <f t="shared" si="782"/>
        <v>2321135.1984080006</v>
      </c>
      <c r="O533" s="776">
        <f t="shared" si="783"/>
        <v>348170.27976120007</v>
      </c>
      <c r="P533" s="776">
        <f t="shared" si="784"/>
        <v>2669305.4781692009</v>
      </c>
      <c r="Q533" s="779">
        <f t="shared" si="788"/>
        <v>64687.040000000001</v>
      </c>
    </row>
    <row r="534" spans="1:17" s="780" customFormat="1" ht="14">
      <c r="A534" s="771">
        <v>4</v>
      </c>
      <c r="B534" s="774" t="s">
        <v>288</v>
      </c>
      <c r="C534" s="771" t="s">
        <v>51</v>
      </c>
      <c r="D534" s="771" t="s">
        <v>31</v>
      </c>
      <c r="E534" s="779"/>
      <c r="F534" s="779"/>
      <c r="G534" s="779"/>
      <c r="H534" s="779"/>
      <c r="I534" s="779"/>
      <c r="J534" s="779"/>
      <c r="K534" s="779"/>
      <c r="L534" s="779"/>
      <c r="M534" s="779"/>
      <c r="N534" s="779"/>
      <c r="O534" s="779"/>
      <c r="P534" s="779"/>
      <c r="Q534" s="779"/>
    </row>
    <row r="535" spans="1:17" s="780" customFormat="1">
      <c r="A535" s="771">
        <v>4.0999999999999996</v>
      </c>
      <c r="B535" s="808" t="s">
        <v>771</v>
      </c>
      <c r="C535" s="804" t="s">
        <v>51</v>
      </c>
      <c r="D535" s="801" t="s">
        <v>31</v>
      </c>
      <c r="E535" s="779"/>
      <c r="F535" s="779"/>
      <c r="G535" s="779"/>
      <c r="H535" s="779"/>
      <c r="I535" s="779"/>
      <c r="J535" s="779"/>
      <c r="K535" s="779"/>
      <c r="L535" s="779"/>
      <c r="M535" s="779"/>
      <c r="N535" s="779"/>
      <c r="O535" s="779"/>
      <c r="P535" s="779"/>
      <c r="Q535" s="779"/>
    </row>
    <row r="536" spans="1:17" s="780" customFormat="1">
      <c r="A536" s="811" t="s">
        <v>767</v>
      </c>
      <c r="B536" s="810" t="s">
        <v>768</v>
      </c>
      <c r="C536" s="804" t="s">
        <v>51</v>
      </c>
      <c r="D536" s="801" t="s">
        <v>31</v>
      </c>
      <c r="E536" s="779">
        <f>NCong!M597</f>
        <v>395053.20029999991</v>
      </c>
      <c r="F536" s="779"/>
      <c r="G536" s="779">
        <f>G527</f>
        <v>15622.70412820513</v>
      </c>
      <c r="H536" s="779">
        <f t="shared" ref="H536:J536" si="789">H527</f>
        <v>27173.82</v>
      </c>
      <c r="I536" s="779">
        <f t="shared" si="789"/>
        <v>13858.50575</v>
      </c>
      <c r="J536" s="779">
        <f t="shared" si="789"/>
        <v>31878.212100000001</v>
      </c>
      <c r="K536" s="776">
        <f t="shared" ref="K536:K538" si="790">SUM(E536:J536)</f>
        <v>483586.44227820507</v>
      </c>
      <c r="L536" s="776">
        <f t="shared" ref="L536:L538" si="791">K536*15%</f>
        <v>72537.96634173076</v>
      </c>
      <c r="M536" s="776">
        <f t="shared" ref="M536:M538" si="792">K536+L536</f>
        <v>556124.40861993586</v>
      </c>
      <c r="N536" s="776">
        <f t="shared" ref="N536:N538" si="793">K536-I536</f>
        <v>469727.93652820506</v>
      </c>
      <c r="O536" s="776">
        <f t="shared" ref="O536:O538" si="794">$L$6*N536</f>
        <v>70459.190479230761</v>
      </c>
      <c r="P536" s="776">
        <f t="shared" ref="P536:P538" si="795">N536+O536</f>
        <v>540187.12700743577</v>
      </c>
      <c r="Q536" s="779">
        <f>NCong!P597</f>
        <v>11003.086769230767</v>
      </c>
    </row>
    <row r="537" spans="1:17" s="780" customFormat="1">
      <c r="A537" s="811" t="s">
        <v>767</v>
      </c>
      <c r="B537" s="810" t="s">
        <v>769</v>
      </c>
      <c r="C537" s="804" t="s">
        <v>51</v>
      </c>
      <c r="D537" s="801" t="s">
        <v>31</v>
      </c>
      <c r="E537" s="779">
        <f>NCong!N597</f>
        <v>391841.64359999989</v>
      </c>
      <c r="F537" s="779"/>
      <c r="G537" s="779">
        <f t="shared" ref="G537:J538" si="796">G528</f>
        <v>15622.70412820513</v>
      </c>
      <c r="H537" s="779">
        <f t="shared" si="796"/>
        <v>27173.82</v>
      </c>
      <c r="I537" s="779">
        <f t="shared" si="796"/>
        <v>13858.50575</v>
      </c>
      <c r="J537" s="779">
        <f t="shared" si="796"/>
        <v>31878.212100000001</v>
      </c>
      <c r="K537" s="776">
        <f t="shared" si="790"/>
        <v>480374.88557820505</v>
      </c>
      <c r="L537" s="776">
        <f t="shared" si="791"/>
        <v>72056.232836730749</v>
      </c>
      <c r="M537" s="776">
        <f t="shared" si="792"/>
        <v>552431.11841493577</v>
      </c>
      <c r="N537" s="776">
        <f t="shared" si="793"/>
        <v>466516.37982820504</v>
      </c>
      <c r="O537" s="776">
        <f t="shared" si="794"/>
        <v>69977.45697423075</v>
      </c>
      <c r="P537" s="776">
        <f t="shared" si="795"/>
        <v>536493.83680243581</v>
      </c>
      <c r="Q537" s="779">
        <f>NCong!Q597</f>
        <v>10922.827384615382</v>
      </c>
    </row>
    <row r="538" spans="1:17" s="780" customFormat="1">
      <c r="A538" s="811" t="s">
        <v>767</v>
      </c>
      <c r="B538" s="810" t="s">
        <v>770</v>
      </c>
      <c r="C538" s="804" t="s">
        <v>51</v>
      </c>
      <c r="D538" s="801" t="s">
        <v>31</v>
      </c>
      <c r="E538" s="779">
        <f>NCong!O597</f>
        <v>490660.82504999998</v>
      </c>
      <c r="F538" s="779"/>
      <c r="G538" s="779">
        <f t="shared" si="796"/>
        <v>20309.51536666667</v>
      </c>
      <c r="H538" s="779">
        <f t="shared" si="796"/>
        <v>27173.82</v>
      </c>
      <c r="I538" s="779">
        <f t="shared" si="796"/>
        <v>18016.057475000001</v>
      </c>
      <c r="J538" s="779">
        <f t="shared" si="796"/>
        <v>41441.675730000003</v>
      </c>
      <c r="K538" s="776">
        <f t="shared" si="790"/>
        <v>597601.89362166671</v>
      </c>
      <c r="L538" s="776">
        <f t="shared" si="791"/>
        <v>89640.284043250009</v>
      </c>
      <c r="M538" s="776">
        <f t="shared" si="792"/>
        <v>687242.17766491673</v>
      </c>
      <c r="N538" s="776">
        <f t="shared" si="793"/>
        <v>579585.83614666667</v>
      </c>
      <c r="O538" s="776">
        <f t="shared" si="794"/>
        <v>86937.875421999997</v>
      </c>
      <c r="P538" s="776">
        <f t="shared" si="795"/>
        <v>666523.71156866662</v>
      </c>
      <c r="Q538" s="779">
        <f>NCong!R597</f>
        <v>13651.02369230769</v>
      </c>
    </row>
    <row r="539" spans="1:17" s="780" customFormat="1">
      <c r="A539" s="771">
        <v>4.2</v>
      </c>
      <c r="B539" s="808" t="s">
        <v>772</v>
      </c>
      <c r="C539" s="804" t="s">
        <v>51</v>
      </c>
      <c r="D539" s="801" t="s">
        <v>31</v>
      </c>
      <c r="E539" s="779"/>
      <c r="F539" s="779"/>
      <c r="G539" s="779"/>
      <c r="H539" s="779"/>
      <c r="I539" s="779"/>
      <c r="J539" s="779"/>
      <c r="K539" s="779"/>
      <c r="L539" s="779"/>
      <c r="M539" s="779"/>
      <c r="N539" s="779"/>
      <c r="O539" s="779"/>
      <c r="P539" s="779"/>
      <c r="Q539" s="779"/>
    </row>
    <row r="540" spans="1:17" s="780" customFormat="1">
      <c r="A540" s="811" t="s">
        <v>767</v>
      </c>
      <c r="B540" s="810" t="s">
        <v>768</v>
      </c>
      <c r="C540" s="804" t="s">
        <v>51</v>
      </c>
      <c r="D540" s="801" t="s">
        <v>31</v>
      </c>
      <c r="E540" s="779">
        <f>E536</f>
        <v>395053.20029999991</v>
      </c>
      <c r="F540" s="779"/>
      <c r="G540" s="779">
        <f>G531</f>
        <v>9373.6224769230776</v>
      </c>
      <c r="H540" s="779">
        <f t="shared" ref="H540:J540" si="797">H531</f>
        <v>7632.2919999999995</v>
      </c>
      <c r="I540" s="779">
        <f t="shared" si="797"/>
        <v>8315.1034500000005</v>
      </c>
      <c r="J540" s="779">
        <f t="shared" si="797"/>
        <v>19126.92726</v>
      </c>
      <c r="K540" s="776">
        <f t="shared" ref="K540:K542" si="798">SUM(E540:J540)</f>
        <v>439501.14548692305</v>
      </c>
      <c r="L540" s="776">
        <f t="shared" ref="L540:L542" si="799">K540*15%</f>
        <v>65925.171823038458</v>
      </c>
      <c r="M540" s="776">
        <f t="shared" ref="M540:M542" si="800">K540+L540</f>
        <v>505426.31730996154</v>
      </c>
      <c r="N540" s="776">
        <f t="shared" ref="N540:N542" si="801">K540-I540</f>
        <v>431186.04203692306</v>
      </c>
      <c r="O540" s="776">
        <f t="shared" ref="O540:O542" si="802">$L$6*N540</f>
        <v>64677.906305538454</v>
      </c>
      <c r="P540" s="776">
        <f t="shared" ref="P540:P542" si="803">N540+O540</f>
        <v>495863.94834246149</v>
      </c>
      <c r="Q540" s="779">
        <f>Q536</f>
        <v>11003.086769230767</v>
      </c>
    </row>
    <row r="541" spans="1:17" s="780" customFormat="1">
      <c r="A541" s="811" t="s">
        <v>767</v>
      </c>
      <c r="B541" s="810" t="s">
        <v>769</v>
      </c>
      <c r="C541" s="804" t="s">
        <v>51</v>
      </c>
      <c r="D541" s="801" t="s">
        <v>31</v>
      </c>
      <c r="E541" s="779">
        <f t="shared" ref="E541:E542" si="804">E537</f>
        <v>391841.64359999989</v>
      </c>
      <c r="F541" s="779"/>
      <c r="G541" s="779">
        <f t="shared" ref="G541:J542" si="805">G532</f>
        <v>9373.6224769230776</v>
      </c>
      <c r="H541" s="779">
        <f t="shared" si="805"/>
        <v>7632.2919999999995</v>
      </c>
      <c r="I541" s="779">
        <f t="shared" si="805"/>
        <v>8315.1034500000005</v>
      </c>
      <c r="J541" s="779">
        <f t="shared" si="805"/>
        <v>19126.92726</v>
      </c>
      <c r="K541" s="776">
        <f t="shared" si="798"/>
        <v>436289.58878692304</v>
      </c>
      <c r="L541" s="776">
        <f t="shared" si="799"/>
        <v>65443.438318038454</v>
      </c>
      <c r="M541" s="776">
        <f t="shared" si="800"/>
        <v>501733.02710496151</v>
      </c>
      <c r="N541" s="776">
        <f t="shared" si="801"/>
        <v>427974.48533692304</v>
      </c>
      <c r="O541" s="776">
        <f t="shared" si="802"/>
        <v>64196.17280053845</v>
      </c>
      <c r="P541" s="776">
        <f t="shared" si="803"/>
        <v>492170.65813746152</v>
      </c>
      <c r="Q541" s="779">
        <f t="shared" ref="Q541:Q542" si="806">Q537</f>
        <v>10922.827384615382</v>
      </c>
    </row>
    <row r="542" spans="1:17" s="780" customFormat="1">
      <c r="A542" s="811" t="s">
        <v>767</v>
      </c>
      <c r="B542" s="810" t="s">
        <v>770</v>
      </c>
      <c r="C542" s="804" t="s">
        <v>51</v>
      </c>
      <c r="D542" s="801" t="s">
        <v>31</v>
      </c>
      <c r="E542" s="779">
        <f t="shared" si="804"/>
        <v>490660.82504999998</v>
      </c>
      <c r="F542" s="779"/>
      <c r="G542" s="779">
        <f t="shared" si="805"/>
        <v>12185.709220000001</v>
      </c>
      <c r="H542" s="779">
        <f t="shared" si="805"/>
        <v>7632.2919999999995</v>
      </c>
      <c r="I542" s="779">
        <f t="shared" si="805"/>
        <v>10809.634485</v>
      </c>
      <c r="J542" s="779">
        <f t="shared" si="805"/>
        <v>24865.005438</v>
      </c>
      <c r="K542" s="776">
        <f t="shared" si="798"/>
        <v>546153.46619299997</v>
      </c>
      <c r="L542" s="776">
        <f t="shared" si="799"/>
        <v>81923.019928949987</v>
      </c>
      <c r="M542" s="776">
        <f t="shared" si="800"/>
        <v>628076.48612194997</v>
      </c>
      <c r="N542" s="776">
        <f t="shared" si="801"/>
        <v>535343.83170799993</v>
      </c>
      <c r="O542" s="776">
        <f t="shared" si="802"/>
        <v>80301.574756199989</v>
      </c>
      <c r="P542" s="776">
        <f t="shared" si="803"/>
        <v>615645.40646419988</v>
      </c>
      <c r="Q542" s="779">
        <f t="shared" si="806"/>
        <v>13651.02369230769</v>
      </c>
    </row>
    <row r="543" spans="1:17" s="780" customFormat="1" ht="21">
      <c r="A543" s="771">
        <v>5</v>
      </c>
      <c r="B543" s="774" t="s">
        <v>289</v>
      </c>
      <c r="C543" s="771" t="s">
        <v>51</v>
      </c>
      <c r="D543" s="771" t="s">
        <v>31</v>
      </c>
      <c r="E543" s="779"/>
      <c r="F543" s="779"/>
      <c r="G543" s="779"/>
      <c r="H543" s="779"/>
      <c r="I543" s="779"/>
      <c r="J543" s="779"/>
      <c r="K543" s="779"/>
      <c r="L543" s="779"/>
      <c r="M543" s="779"/>
      <c r="N543" s="779"/>
      <c r="O543" s="779"/>
      <c r="P543" s="779"/>
      <c r="Q543" s="779"/>
    </row>
    <row r="544" spans="1:17" s="780" customFormat="1">
      <c r="A544" s="771">
        <v>5.0999999999999996</v>
      </c>
      <c r="B544" s="808" t="s">
        <v>771</v>
      </c>
      <c r="C544" s="804" t="s">
        <v>51</v>
      </c>
      <c r="D544" s="801" t="s">
        <v>31</v>
      </c>
      <c r="E544" s="779"/>
      <c r="F544" s="779"/>
      <c r="G544" s="779"/>
      <c r="H544" s="779"/>
      <c r="I544" s="779"/>
      <c r="J544" s="779"/>
      <c r="K544" s="779"/>
      <c r="L544" s="779"/>
      <c r="M544" s="779"/>
      <c r="N544" s="779"/>
      <c r="O544" s="779"/>
      <c r="P544" s="779"/>
      <c r="Q544" s="779"/>
    </row>
    <row r="545" spans="1:17" s="780" customFormat="1">
      <c r="A545" s="811" t="s">
        <v>767</v>
      </c>
      <c r="B545" s="810" t="s">
        <v>768</v>
      </c>
      <c r="C545" s="804" t="s">
        <v>51</v>
      </c>
      <c r="D545" s="801" t="s">
        <v>31</v>
      </c>
      <c r="E545" s="779">
        <f>NCong!M598</f>
        <v>1783818.5739000002</v>
      </c>
      <c r="F545" s="779"/>
      <c r="G545" s="779">
        <f>G536</f>
        <v>15622.70412820513</v>
      </c>
      <c r="H545" s="779">
        <f t="shared" ref="H545:J545" si="807">H536</f>
        <v>27173.82</v>
      </c>
      <c r="I545" s="779">
        <f t="shared" si="807"/>
        <v>13858.50575</v>
      </c>
      <c r="J545" s="779">
        <f t="shared" si="807"/>
        <v>31878.212100000001</v>
      </c>
      <c r="K545" s="776">
        <f t="shared" ref="K545:K547" si="808">SUM(E545:J545)</f>
        <v>1872351.8158782052</v>
      </c>
      <c r="L545" s="776">
        <f t="shared" ref="L545:L547" si="809">K545*15%</f>
        <v>280852.77238173079</v>
      </c>
      <c r="M545" s="776">
        <f t="shared" ref="M545:M547" si="810">K545+L545</f>
        <v>2153204.5882599358</v>
      </c>
      <c r="N545" s="776">
        <f t="shared" ref="N545:N547" si="811">K545-I545</f>
        <v>1858493.3101282052</v>
      </c>
      <c r="O545" s="776">
        <f t="shared" ref="O545:O547" si="812">$L$6*N545</f>
        <v>278773.99651923077</v>
      </c>
      <c r="P545" s="776">
        <f t="shared" ref="P545:P547" si="813">N545+O545</f>
        <v>2137267.3066474358</v>
      </c>
      <c r="Q545" s="779">
        <f>NCong!P598</f>
        <v>50627.401846153851</v>
      </c>
    </row>
    <row r="546" spans="1:17" s="780" customFormat="1">
      <c r="A546" s="811" t="s">
        <v>767</v>
      </c>
      <c r="B546" s="810" t="s">
        <v>769</v>
      </c>
      <c r="C546" s="804" t="s">
        <v>51</v>
      </c>
      <c r="D546" s="801" t="s">
        <v>31</v>
      </c>
      <c r="E546" s="779">
        <f>NCong!N598</f>
        <v>1774230.7720500003</v>
      </c>
      <c r="F546" s="779"/>
      <c r="G546" s="779">
        <f t="shared" ref="G546:J551" si="814">G537</f>
        <v>15622.70412820513</v>
      </c>
      <c r="H546" s="779">
        <f t="shared" si="814"/>
        <v>27173.82</v>
      </c>
      <c r="I546" s="779">
        <f t="shared" si="814"/>
        <v>13858.50575</v>
      </c>
      <c r="J546" s="779">
        <f t="shared" si="814"/>
        <v>31878.212100000001</v>
      </c>
      <c r="K546" s="776">
        <f t="shared" si="808"/>
        <v>1862764.0140282053</v>
      </c>
      <c r="L546" s="776">
        <f t="shared" si="809"/>
        <v>279414.60210423078</v>
      </c>
      <c r="M546" s="776">
        <f t="shared" si="810"/>
        <v>2142178.6161324363</v>
      </c>
      <c r="N546" s="776">
        <f t="shared" si="811"/>
        <v>1848905.5082782053</v>
      </c>
      <c r="O546" s="776">
        <f t="shared" si="812"/>
        <v>277335.82624173077</v>
      </c>
      <c r="P546" s="776">
        <f t="shared" si="813"/>
        <v>2126241.3345199362</v>
      </c>
      <c r="Q546" s="779">
        <f>NCong!Q598</f>
        <v>50375.044076923077</v>
      </c>
    </row>
    <row r="547" spans="1:17" s="780" customFormat="1">
      <c r="A547" s="811" t="s">
        <v>767</v>
      </c>
      <c r="B547" s="810" t="s">
        <v>770</v>
      </c>
      <c r="C547" s="804" t="s">
        <v>51</v>
      </c>
      <c r="D547" s="801" t="s">
        <v>31</v>
      </c>
      <c r="E547" s="779">
        <f>NCong!O598</f>
        <v>2293431.4771500002</v>
      </c>
      <c r="F547" s="779"/>
      <c r="G547" s="779">
        <f t="shared" si="814"/>
        <v>20309.51536666667</v>
      </c>
      <c r="H547" s="779">
        <f t="shared" si="814"/>
        <v>27173.82</v>
      </c>
      <c r="I547" s="779">
        <f t="shared" si="814"/>
        <v>18016.057475000001</v>
      </c>
      <c r="J547" s="779">
        <f t="shared" si="814"/>
        <v>41441.675730000003</v>
      </c>
      <c r="K547" s="776">
        <f t="shared" si="808"/>
        <v>2400372.5457216664</v>
      </c>
      <c r="L547" s="776">
        <f t="shared" si="809"/>
        <v>360055.88185824995</v>
      </c>
      <c r="M547" s="776">
        <f t="shared" si="810"/>
        <v>2760428.4275799165</v>
      </c>
      <c r="N547" s="776">
        <f t="shared" si="811"/>
        <v>2382356.4882466663</v>
      </c>
      <c r="O547" s="776">
        <f t="shared" si="812"/>
        <v>357353.47323699994</v>
      </c>
      <c r="P547" s="776">
        <f t="shared" si="813"/>
        <v>2739709.9614836662</v>
      </c>
      <c r="Q547" s="779">
        <f>NCong!R598</f>
        <v>65091.801076923075</v>
      </c>
    </row>
    <row r="548" spans="1:17" s="780" customFormat="1">
      <c r="A548" s="771">
        <v>5.2</v>
      </c>
      <c r="B548" s="808" t="s">
        <v>772</v>
      </c>
      <c r="C548" s="804" t="s">
        <v>51</v>
      </c>
      <c r="D548" s="801" t="s">
        <v>31</v>
      </c>
      <c r="E548" s="779"/>
      <c r="F548" s="779"/>
      <c r="G548" s="779">
        <f t="shared" si="814"/>
        <v>0</v>
      </c>
      <c r="H548" s="779">
        <f t="shared" si="814"/>
        <v>0</v>
      </c>
      <c r="I548" s="779">
        <f t="shared" si="814"/>
        <v>0</v>
      </c>
      <c r="J548" s="779">
        <f t="shared" si="814"/>
        <v>0</v>
      </c>
      <c r="K548" s="779"/>
      <c r="L548" s="779"/>
      <c r="M548" s="779"/>
      <c r="N548" s="779"/>
      <c r="O548" s="779"/>
      <c r="P548" s="779"/>
      <c r="Q548" s="779"/>
    </row>
    <row r="549" spans="1:17" s="780" customFormat="1">
      <c r="A549" s="811" t="s">
        <v>767</v>
      </c>
      <c r="B549" s="810" t="s">
        <v>768</v>
      </c>
      <c r="C549" s="804" t="s">
        <v>51</v>
      </c>
      <c r="D549" s="801" t="s">
        <v>31</v>
      </c>
      <c r="E549" s="779">
        <f>E545</f>
        <v>1783818.5739000002</v>
      </c>
      <c r="F549" s="779"/>
      <c r="G549" s="779">
        <f t="shared" si="814"/>
        <v>9373.6224769230776</v>
      </c>
      <c r="H549" s="779">
        <f t="shared" si="814"/>
        <v>7632.2919999999995</v>
      </c>
      <c r="I549" s="779">
        <f t="shared" si="814"/>
        <v>8315.1034500000005</v>
      </c>
      <c r="J549" s="779">
        <f t="shared" si="814"/>
        <v>19126.92726</v>
      </c>
      <c r="K549" s="776">
        <f t="shared" ref="K549:K551" si="815">SUM(E549:J549)</f>
        <v>1828266.5190869232</v>
      </c>
      <c r="L549" s="776">
        <f t="shared" ref="L549:L551" si="816">K549*15%</f>
        <v>274239.97786303848</v>
      </c>
      <c r="M549" s="776">
        <f t="shared" ref="M549:M551" si="817">K549+L549</f>
        <v>2102506.4969499619</v>
      </c>
      <c r="N549" s="776">
        <f t="shared" ref="N549:N551" si="818">K549-I549</f>
        <v>1819951.4156369232</v>
      </c>
      <c r="O549" s="776">
        <f t="shared" ref="O549:O551" si="819">$L$6*N549</f>
        <v>272992.71234553849</v>
      </c>
      <c r="P549" s="776">
        <f t="shared" ref="P549:P551" si="820">N549+O549</f>
        <v>2092944.1279824616</v>
      </c>
      <c r="Q549" s="779">
        <f>Q545</f>
        <v>50627.401846153851</v>
      </c>
    </row>
    <row r="550" spans="1:17" s="780" customFormat="1">
      <c r="A550" s="811" t="s">
        <v>767</v>
      </c>
      <c r="B550" s="810" t="s">
        <v>769</v>
      </c>
      <c r="C550" s="804" t="s">
        <v>51</v>
      </c>
      <c r="D550" s="801" t="s">
        <v>31</v>
      </c>
      <c r="E550" s="779">
        <f t="shared" ref="E550:E551" si="821">E546</f>
        <v>1774230.7720500003</v>
      </c>
      <c r="F550" s="779"/>
      <c r="G550" s="779">
        <f t="shared" si="814"/>
        <v>9373.6224769230776</v>
      </c>
      <c r="H550" s="779">
        <f t="shared" si="814"/>
        <v>7632.2919999999995</v>
      </c>
      <c r="I550" s="779">
        <f t="shared" si="814"/>
        <v>8315.1034500000005</v>
      </c>
      <c r="J550" s="779">
        <f t="shared" si="814"/>
        <v>19126.92726</v>
      </c>
      <c r="K550" s="776">
        <f t="shared" si="815"/>
        <v>1818678.7172369233</v>
      </c>
      <c r="L550" s="776">
        <f t="shared" si="816"/>
        <v>272801.80758553848</v>
      </c>
      <c r="M550" s="776">
        <f t="shared" si="817"/>
        <v>2091480.5248224619</v>
      </c>
      <c r="N550" s="776">
        <f t="shared" si="818"/>
        <v>1810363.6137869232</v>
      </c>
      <c r="O550" s="776">
        <f t="shared" si="819"/>
        <v>271554.54206803849</v>
      </c>
      <c r="P550" s="776">
        <f t="shared" si="820"/>
        <v>2081918.1558549618</v>
      </c>
      <c r="Q550" s="779">
        <f t="shared" ref="Q550:Q551" si="822">Q546</f>
        <v>50375.044076923077</v>
      </c>
    </row>
    <row r="551" spans="1:17" s="780" customFormat="1">
      <c r="A551" s="811" t="s">
        <v>767</v>
      </c>
      <c r="B551" s="810" t="s">
        <v>770</v>
      </c>
      <c r="C551" s="804" t="s">
        <v>51</v>
      </c>
      <c r="D551" s="801" t="s">
        <v>31</v>
      </c>
      <c r="E551" s="779">
        <f t="shared" si="821"/>
        <v>2293431.4771500002</v>
      </c>
      <c r="F551" s="779"/>
      <c r="G551" s="779">
        <f t="shared" si="814"/>
        <v>12185.709220000001</v>
      </c>
      <c r="H551" s="779">
        <f t="shared" si="814"/>
        <v>7632.2919999999995</v>
      </c>
      <c r="I551" s="779">
        <f t="shared" si="814"/>
        <v>10809.634485</v>
      </c>
      <c r="J551" s="779">
        <f t="shared" si="814"/>
        <v>24865.005438</v>
      </c>
      <c r="K551" s="776">
        <f t="shared" si="815"/>
        <v>2348924.1182929999</v>
      </c>
      <c r="L551" s="776">
        <f t="shared" si="816"/>
        <v>352338.61774394999</v>
      </c>
      <c r="M551" s="776">
        <f t="shared" si="817"/>
        <v>2701262.7360369498</v>
      </c>
      <c r="N551" s="776">
        <f t="shared" si="818"/>
        <v>2338114.4838080001</v>
      </c>
      <c r="O551" s="776">
        <f t="shared" si="819"/>
        <v>350717.1725712</v>
      </c>
      <c r="P551" s="776">
        <f t="shared" si="820"/>
        <v>2688831.6563792001</v>
      </c>
      <c r="Q551" s="779">
        <f t="shared" si="822"/>
        <v>65091.801076923075</v>
      </c>
    </row>
    <row r="552" spans="1:17" s="780" customFormat="1">
      <c r="A552" s="771">
        <v>6</v>
      </c>
      <c r="B552" s="774" t="s">
        <v>253</v>
      </c>
      <c r="C552" s="771" t="s">
        <v>51</v>
      </c>
      <c r="D552" s="771" t="s">
        <v>31</v>
      </c>
      <c r="E552" s="779"/>
      <c r="F552" s="779"/>
      <c r="G552" s="779"/>
      <c r="H552" s="779"/>
      <c r="I552" s="779"/>
      <c r="J552" s="779"/>
      <c r="K552" s="779"/>
      <c r="L552" s="779"/>
      <c r="M552" s="779"/>
      <c r="N552" s="779"/>
      <c r="O552" s="779"/>
      <c r="P552" s="779"/>
      <c r="Q552" s="779"/>
    </row>
    <row r="553" spans="1:17" s="780" customFormat="1">
      <c r="A553" s="771">
        <v>6.1</v>
      </c>
      <c r="B553" s="808" t="s">
        <v>771</v>
      </c>
      <c r="C553" s="804" t="s">
        <v>51</v>
      </c>
      <c r="D553" s="801" t="s">
        <v>31</v>
      </c>
      <c r="E553" s="779"/>
      <c r="F553" s="779"/>
      <c r="G553" s="779"/>
      <c r="H553" s="779"/>
      <c r="I553" s="779"/>
      <c r="J553" s="779"/>
      <c r="K553" s="779"/>
      <c r="L553" s="779"/>
      <c r="M553" s="779"/>
      <c r="N553" s="779"/>
      <c r="O553" s="779"/>
      <c r="P553" s="779"/>
      <c r="Q553" s="779"/>
    </row>
    <row r="554" spans="1:17" s="780" customFormat="1">
      <c r="A554" s="771"/>
      <c r="B554" s="810" t="s">
        <v>768</v>
      </c>
      <c r="C554" s="804" t="s">
        <v>51</v>
      </c>
      <c r="D554" s="801" t="s">
        <v>31</v>
      </c>
      <c r="E554" s="779">
        <f>E558</f>
        <v>1769735.0253000001</v>
      </c>
      <c r="F554" s="779"/>
      <c r="G554" s="779">
        <f>G545</f>
        <v>15622.70412820513</v>
      </c>
      <c r="H554" s="779">
        <f t="shared" ref="H554:J554" si="823">H545</f>
        <v>27173.82</v>
      </c>
      <c r="I554" s="779">
        <f t="shared" si="823"/>
        <v>13858.50575</v>
      </c>
      <c r="J554" s="779">
        <f t="shared" si="823"/>
        <v>31878.212100000001</v>
      </c>
      <c r="K554" s="776">
        <f t="shared" ref="K554:K556" si="824">SUM(E554:J554)</f>
        <v>1858268.2672782051</v>
      </c>
      <c r="L554" s="776">
        <f t="shared" ref="L554:L556" si="825">K554*15%</f>
        <v>278740.24009173078</v>
      </c>
      <c r="M554" s="776">
        <f t="shared" ref="M554:M556" si="826">K554+L554</f>
        <v>2137008.507369936</v>
      </c>
      <c r="N554" s="776">
        <f t="shared" ref="N554:N556" si="827">K554-I554</f>
        <v>1844409.7615282051</v>
      </c>
      <c r="O554" s="776">
        <f t="shared" ref="O554:O556" si="828">$L$6*N554</f>
        <v>276661.46422923077</v>
      </c>
      <c r="P554" s="776">
        <f t="shared" ref="P554:P556" si="829">N554+O554</f>
        <v>2121071.2257574359</v>
      </c>
      <c r="Q554" s="779">
        <f>NCong!P599</f>
        <v>50247.279076923078</v>
      </c>
    </row>
    <row r="555" spans="1:17" s="780" customFormat="1">
      <c r="A555" s="771"/>
      <c r="B555" s="810" t="s">
        <v>769</v>
      </c>
      <c r="C555" s="804" t="s">
        <v>51</v>
      </c>
      <c r="D555" s="801" t="s">
        <v>31</v>
      </c>
      <c r="E555" s="779">
        <f t="shared" ref="E555:E556" si="830">E559</f>
        <v>1766523.4686000003</v>
      </c>
      <c r="F555" s="779"/>
      <c r="G555" s="779">
        <f t="shared" ref="G555:J556" si="831">G546</f>
        <v>15622.70412820513</v>
      </c>
      <c r="H555" s="779">
        <f t="shared" si="831"/>
        <v>27173.82</v>
      </c>
      <c r="I555" s="779">
        <f t="shared" si="831"/>
        <v>13858.50575</v>
      </c>
      <c r="J555" s="779">
        <f t="shared" si="831"/>
        <v>31878.212100000001</v>
      </c>
      <c r="K555" s="776">
        <f t="shared" si="824"/>
        <v>1855056.7105782053</v>
      </c>
      <c r="L555" s="776">
        <f t="shared" si="825"/>
        <v>278258.50658673077</v>
      </c>
      <c r="M555" s="776">
        <f t="shared" si="826"/>
        <v>2133315.217164936</v>
      </c>
      <c r="N555" s="776">
        <f t="shared" si="827"/>
        <v>1841198.2048282053</v>
      </c>
      <c r="O555" s="776">
        <f t="shared" si="828"/>
        <v>276179.73072423076</v>
      </c>
      <c r="P555" s="776">
        <f t="shared" si="829"/>
        <v>2117377.9355524359</v>
      </c>
      <c r="Q555" s="779">
        <f>NCong!Q599</f>
        <v>50167.019692307687</v>
      </c>
    </row>
    <row r="556" spans="1:17" s="780" customFormat="1">
      <c r="A556" s="771"/>
      <c r="B556" s="810" t="s">
        <v>770</v>
      </c>
      <c r="C556" s="804" t="s">
        <v>51</v>
      </c>
      <c r="D556" s="801" t="s">
        <v>31</v>
      </c>
      <c r="E556" s="779">
        <f t="shared" si="830"/>
        <v>2274178.0000500004</v>
      </c>
      <c r="F556" s="779"/>
      <c r="G556" s="779">
        <f t="shared" si="831"/>
        <v>20309.51536666667</v>
      </c>
      <c r="H556" s="779">
        <f t="shared" si="831"/>
        <v>27173.82</v>
      </c>
      <c r="I556" s="779">
        <f t="shared" si="831"/>
        <v>18016.057475000001</v>
      </c>
      <c r="J556" s="779">
        <f t="shared" si="831"/>
        <v>41441.675730000003</v>
      </c>
      <c r="K556" s="776">
        <f t="shared" si="824"/>
        <v>2381119.0686216666</v>
      </c>
      <c r="L556" s="776">
        <f t="shared" si="825"/>
        <v>357167.86029325001</v>
      </c>
      <c r="M556" s="776">
        <f t="shared" si="826"/>
        <v>2738286.9289149167</v>
      </c>
      <c r="N556" s="776">
        <f t="shared" si="827"/>
        <v>2363103.0111466665</v>
      </c>
      <c r="O556" s="776">
        <f t="shared" si="828"/>
        <v>354465.45167199994</v>
      </c>
      <c r="P556" s="776">
        <f t="shared" si="829"/>
        <v>2717568.4628186664</v>
      </c>
      <c r="Q556" s="779">
        <f>NCong!R599</f>
        <v>64572.139076923078</v>
      </c>
    </row>
    <row r="557" spans="1:17" s="780" customFormat="1">
      <c r="A557" s="771">
        <v>6.2</v>
      </c>
      <c r="B557" s="808" t="s">
        <v>772</v>
      </c>
      <c r="C557" s="802"/>
      <c r="D557" s="771"/>
      <c r="E557" s="779"/>
      <c r="F557" s="779"/>
      <c r="G557" s="779"/>
      <c r="H557" s="779"/>
      <c r="I557" s="779"/>
      <c r="J557" s="779"/>
      <c r="K557" s="779"/>
      <c r="L557" s="779"/>
      <c r="M557" s="779"/>
      <c r="N557" s="779"/>
      <c r="O557" s="779"/>
      <c r="P557" s="779"/>
      <c r="Q557" s="779"/>
    </row>
    <row r="558" spans="1:17" s="780" customFormat="1">
      <c r="A558" s="811" t="s">
        <v>767</v>
      </c>
      <c r="B558" s="810" t="s">
        <v>768</v>
      </c>
      <c r="C558" s="804" t="s">
        <v>51</v>
      </c>
      <c r="D558" s="801" t="s">
        <v>31</v>
      </c>
      <c r="E558" s="779">
        <f>NCong!M599</f>
        <v>1769735.0253000001</v>
      </c>
      <c r="F558" s="779"/>
      <c r="G558" s="779">
        <f>G549</f>
        <v>9373.6224769230776</v>
      </c>
      <c r="H558" s="779">
        <f t="shared" ref="H558:J558" si="832">H549</f>
        <v>7632.2919999999995</v>
      </c>
      <c r="I558" s="779">
        <f t="shared" si="832"/>
        <v>8315.1034500000005</v>
      </c>
      <c r="J558" s="779">
        <f t="shared" si="832"/>
        <v>19126.92726</v>
      </c>
      <c r="K558" s="776">
        <f t="shared" ref="K558:K560" si="833">SUM(E558:J558)</f>
        <v>1814182.9704869231</v>
      </c>
      <c r="L558" s="776">
        <f t="shared" ref="L558:L560" si="834">K558*15%</f>
        <v>272127.44557303848</v>
      </c>
      <c r="M558" s="776">
        <f t="shared" ref="M558:M560" si="835">K558+L558</f>
        <v>2086310.4160599615</v>
      </c>
      <c r="N558" s="776">
        <f t="shared" ref="N558:N560" si="836">K558-I558</f>
        <v>1805867.8670369231</v>
      </c>
      <c r="O558" s="776">
        <f t="shared" ref="O558:O560" si="837">$L$6*N558</f>
        <v>270880.18005553843</v>
      </c>
      <c r="P558" s="776">
        <f t="shared" ref="P558:P560" si="838">N558+O558</f>
        <v>2076748.0470924615</v>
      </c>
      <c r="Q558" s="779">
        <f>Q554</f>
        <v>50247.279076923078</v>
      </c>
    </row>
    <row r="559" spans="1:17" s="780" customFormat="1">
      <c r="A559" s="811" t="s">
        <v>767</v>
      </c>
      <c r="B559" s="810" t="s">
        <v>769</v>
      </c>
      <c r="C559" s="804" t="s">
        <v>51</v>
      </c>
      <c r="D559" s="801" t="s">
        <v>31</v>
      </c>
      <c r="E559" s="779">
        <f>NCong!N599</f>
        <v>1766523.4686000003</v>
      </c>
      <c r="F559" s="779"/>
      <c r="G559" s="779">
        <f t="shared" ref="G559:J560" si="839">G550</f>
        <v>9373.6224769230776</v>
      </c>
      <c r="H559" s="779">
        <f t="shared" si="839"/>
        <v>7632.2919999999995</v>
      </c>
      <c r="I559" s="779">
        <f t="shared" si="839"/>
        <v>8315.1034500000005</v>
      </c>
      <c r="J559" s="779">
        <f t="shared" si="839"/>
        <v>19126.92726</v>
      </c>
      <c r="K559" s="776">
        <f t="shared" si="833"/>
        <v>1810971.4137869233</v>
      </c>
      <c r="L559" s="776">
        <f t="shared" si="834"/>
        <v>271645.71206803847</v>
      </c>
      <c r="M559" s="776">
        <f t="shared" si="835"/>
        <v>2082617.1258549618</v>
      </c>
      <c r="N559" s="776">
        <f t="shared" si="836"/>
        <v>1802656.3103369232</v>
      </c>
      <c r="O559" s="776">
        <f t="shared" si="837"/>
        <v>270398.44655053847</v>
      </c>
      <c r="P559" s="776">
        <f t="shared" si="838"/>
        <v>2073054.7568874618</v>
      </c>
      <c r="Q559" s="779">
        <f t="shared" ref="Q559:Q560" si="840">Q555</f>
        <v>50167.019692307687</v>
      </c>
    </row>
    <row r="560" spans="1:17" s="780" customFormat="1">
      <c r="A560" s="811" t="s">
        <v>767</v>
      </c>
      <c r="B560" s="810" t="s">
        <v>770</v>
      </c>
      <c r="C560" s="804" t="s">
        <v>51</v>
      </c>
      <c r="D560" s="801" t="s">
        <v>31</v>
      </c>
      <c r="E560" s="779">
        <f>NCong!O599</f>
        <v>2274178.0000500004</v>
      </c>
      <c r="F560" s="779"/>
      <c r="G560" s="779">
        <f t="shared" si="839"/>
        <v>12185.709220000001</v>
      </c>
      <c r="H560" s="779">
        <f t="shared" si="839"/>
        <v>7632.2919999999995</v>
      </c>
      <c r="I560" s="779">
        <f t="shared" si="839"/>
        <v>10809.634485</v>
      </c>
      <c r="J560" s="779">
        <f t="shared" si="839"/>
        <v>24865.005438</v>
      </c>
      <c r="K560" s="776">
        <f t="shared" si="833"/>
        <v>2329670.6411930001</v>
      </c>
      <c r="L560" s="776">
        <f t="shared" si="834"/>
        <v>349450.59617894999</v>
      </c>
      <c r="M560" s="776">
        <f t="shared" si="835"/>
        <v>2679121.2373719499</v>
      </c>
      <c r="N560" s="776">
        <f t="shared" si="836"/>
        <v>2318861.0067080003</v>
      </c>
      <c r="O560" s="776">
        <f t="shared" si="837"/>
        <v>347829.15100620006</v>
      </c>
      <c r="P560" s="776">
        <f t="shared" si="838"/>
        <v>2666690.1577142002</v>
      </c>
      <c r="Q560" s="779">
        <f t="shared" si="840"/>
        <v>64572.139076923078</v>
      </c>
    </row>
    <row r="561" spans="1:17" s="780" customFormat="1">
      <c r="A561" s="771">
        <v>7</v>
      </c>
      <c r="B561" s="774" t="s">
        <v>255</v>
      </c>
      <c r="C561" s="771" t="s">
        <v>51</v>
      </c>
      <c r="D561" s="771" t="s">
        <v>31</v>
      </c>
      <c r="E561" s="779"/>
      <c r="F561" s="779"/>
      <c r="G561" s="779"/>
      <c r="H561" s="779"/>
      <c r="I561" s="779"/>
      <c r="J561" s="779"/>
      <c r="K561" s="779"/>
      <c r="L561" s="779"/>
      <c r="M561" s="779"/>
      <c r="N561" s="779"/>
      <c r="O561" s="779"/>
      <c r="P561" s="779"/>
      <c r="Q561" s="779"/>
    </row>
    <row r="562" spans="1:17" s="780" customFormat="1">
      <c r="A562" s="771">
        <v>7.1</v>
      </c>
      <c r="B562" s="808" t="s">
        <v>771</v>
      </c>
      <c r="C562" s="804" t="s">
        <v>51</v>
      </c>
      <c r="D562" s="801" t="s">
        <v>31</v>
      </c>
      <c r="E562" s="779"/>
      <c r="F562" s="779"/>
      <c r="G562" s="779"/>
      <c r="H562" s="779"/>
      <c r="I562" s="779"/>
      <c r="J562" s="779"/>
      <c r="K562" s="779"/>
      <c r="L562" s="779"/>
      <c r="M562" s="779"/>
      <c r="N562" s="779"/>
      <c r="O562" s="779"/>
      <c r="P562" s="779"/>
      <c r="Q562" s="779"/>
    </row>
    <row r="563" spans="1:17" s="780" customFormat="1">
      <c r="A563" s="811" t="s">
        <v>767</v>
      </c>
      <c r="B563" s="810" t="s">
        <v>768</v>
      </c>
      <c r="C563" s="804" t="s">
        <v>51</v>
      </c>
      <c r="D563" s="801" t="s">
        <v>31</v>
      </c>
      <c r="E563" s="779">
        <f>NCong!M600</f>
        <v>1779694.1679000002</v>
      </c>
      <c r="F563" s="779"/>
      <c r="G563" s="779">
        <f>G545</f>
        <v>15622.70412820513</v>
      </c>
      <c r="H563" s="779">
        <f t="shared" ref="H563:J563" si="841">H545</f>
        <v>27173.82</v>
      </c>
      <c r="I563" s="779">
        <f t="shared" si="841"/>
        <v>13858.50575</v>
      </c>
      <c r="J563" s="779">
        <f t="shared" si="841"/>
        <v>31878.212100000001</v>
      </c>
      <c r="K563" s="776">
        <f t="shared" ref="K563:K565" si="842">SUM(E563:J563)</f>
        <v>1868227.4098782053</v>
      </c>
      <c r="L563" s="776">
        <f t="shared" ref="L563:L565" si="843">K563*15%</f>
        <v>280234.11148173077</v>
      </c>
      <c r="M563" s="776">
        <f t="shared" ref="M563:M565" si="844">K563+L563</f>
        <v>2148461.5213599359</v>
      </c>
      <c r="N563" s="776">
        <f t="shared" ref="N563:N565" si="845">K563-I563</f>
        <v>1854368.9041282053</v>
      </c>
      <c r="O563" s="776">
        <f t="shared" ref="O563:O565" si="846">$L$6*N563</f>
        <v>278155.33561923075</v>
      </c>
      <c r="P563" s="776">
        <f t="shared" ref="P563:P565" si="847">N563+O563</f>
        <v>2132524.2397474358</v>
      </c>
      <c r="Q563" s="779">
        <f>NCong!P600</f>
        <v>50516.081846153851</v>
      </c>
    </row>
    <row r="564" spans="1:17" s="780" customFormat="1">
      <c r="A564" s="811" t="s">
        <v>767</v>
      </c>
      <c r="B564" s="810" t="s">
        <v>769</v>
      </c>
      <c r="C564" s="804" t="s">
        <v>51</v>
      </c>
      <c r="D564" s="801" t="s">
        <v>31</v>
      </c>
      <c r="E564" s="779">
        <f>NCong!N600</f>
        <v>1771840.4913000003</v>
      </c>
      <c r="F564" s="779"/>
      <c r="G564" s="779">
        <f t="shared" ref="G564:J565" si="848">G546</f>
        <v>15622.70412820513</v>
      </c>
      <c r="H564" s="779">
        <f t="shared" si="848"/>
        <v>27173.82</v>
      </c>
      <c r="I564" s="779">
        <f t="shared" si="848"/>
        <v>13858.50575</v>
      </c>
      <c r="J564" s="779">
        <f t="shared" si="848"/>
        <v>31878.212100000001</v>
      </c>
      <c r="K564" s="776">
        <f t="shared" si="842"/>
        <v>1860373.7332782054</v>
      </c>
      <c r="L564" s="776">
        <f t="shared" si="843"/>
        <v>279056.05999173078</v>
      </c>
      <c r="M564" s="776">
        <f t="shared" si="844"/>
        <v>2139429.793269936</v>
      </c>
      <c r="N564" s="776">
        <f t="shared" si="845"/>
        <v>1846515.2275282054</v>
      </c>
      <c r="O564" s="776">
        <f t="shared" si="846"/>
        <v>276977.28412923077</v>
      </c>
      <c r="P564" s="776">
        <f t="shared" si="847"/>
        <v>2123492.5116574364</v>
      </c>
      <c r="Q564" s="779">
        <f>NCong!Q600</f>
        <v>50310.529076923078</v>
      </c>
    </row>
    <row r="565" spans="1:17" s="780" customFormat="1">
      <c r="A565" s="811" t="s">
        <v>767</v>
      </c>
      <c r="B565" s="810" t="s">
        <v>770</v>
      </c>
      <c r="C565" s="804" t="s">
        <v>51</v>
      </c>
      <c r="D565" s="801" t="s">
        <v>31</v>
      </c>
      <c r="E565" s="779">
        <f>NCong!O600</f>
        <v>2287901.0236500003</v>
      </c>
      <c r="F565" s="779"/>
      <c r="G565" s="779">
        <f t="shared" si="848"/>
        <v>20309.51536666667</v>
      </c>
      <c r="H565" s="779">
        <f t="shared" si="848"/>
        <v>27173.82</v>
      </c>
      <c r="I565" s="779">
        <f t="shared" si="848"/>
        <v>18016.057475000001</v>
      </c>
      <c r="J565" s="779">
        <f t="shared" si="848"/>
        <v>41441.675730000003</v>
      </c>
      <c r="K565" s="776">
        <f t="shared" si="842"/>
        <v>2394842.0922216666</v>
      </c>
      <c r="L565" s="776">
        <f t="shared" si="843"/>
        <v>359226.31383324997</v>
      </c>
      <c r="M565" s="776">
        <f t="shared" si="844"/>
        <v>2754068.4060549168</v>
      </c>
      <c r="N565" s="776">
        <f t="shared" si="845"/>
        <v>2376826.0347466664</v>
      </c>
      <c r="O565" s="776">
        <f t="shared" si="846"/>
        <v>356523.90521199995</v>
      </c>
      <c r="P565" s="776">
        <f t="shared" si="847"/>
        <v>2733349.9399586665</v>
      </c>
      <c r="Q565" s="779">
        <f>NCong!R600</f>
        <v>64942.531076923078</v>
      </c>
    </row>
    <row r="566" spans="1:17" s="780" customFormat="1">
      <c r="A566" s="771">
        <v>7.2</v>
      </c>
      <c r="B566" s="808" t="s">
        <v>772</v>
      </c>
      <c r="C566" s="804" t="s">
        <v>51</v>
      </c>
      <c r="D566" s="801" t="s">
        <v>31</v>
      </c>
      <c r="E566" s="779"/>
      <c r="F566" s="779"/>
      <c r="G566" s="779"/>
      <c r="H566" s="779"/>
      <c r="I566" s="779"/>
      <c r="J566" s="779"/>
      <c r="K566" s="779"/>
      <c r="L566" s="779"/>
      <c r="M566" s="779"/>
      <c r="N566" s="779"/>
      <c r="O566" s="779"/>
      <c r="P566" s="779"/>
      <c r="Q566" s="779"/>
    </row>
    <row r="567" spans="1:17" s="780" customFormat="1">
      <c r="A567" s="811" t="s">
        <v>767</v>
      </c>
      <c r="B567" s="810" t="s">
        <v>768</v>
      </c>
      <c r="C567" s="804" t="s">
        <v>51</v>
      </c>
      <c r="D567" s="801" t="s">
        <v>31</v>
      </c>
      <c r="E567" s="779">
        <f>E563</f>
        <v>1779694.1679000002</v>
      </c>
      <c r="F567" s="779"/>
      <c r="G567" s="779">
        <f t="shared" ref="G567:J569" si="849">G549</f>
        <v>9373.6224769230776</v>
      </c>
      <c r="H567" s="779">
        <f t="shared" si="849"/>
        <v>7632.2919999999995</v>
      </c>
      <c r="I567" s="779">
        <f t="shared" si="849"/>
        <v>8315.1034500000005</v>
      </c>
      <c r="J567" s="779">
        <f t="shared" si="849"/>
        <v>19126.92726</v>
      </c>
      <c r="K567" s="776">
        <f t="shared" ref="K567:K569" si="850">SUM(E567:J567)</f>
        <v>1824142.1130869233</v>
      </c>
      <c r="L567" s="776">
        <f t="shared" ref="L567:L569" si="851">K567*15%</f>
        <v>273621.31696303847</v>
      </c>
      <c r="M567" s="776">
        <f t="shared" ref="M567:M569" si="852">K567+L567</f>
        <v>2097763.4300499619</v>
      </c>
      <c r="N567" s="776">
        <f t="shared" ref="N567:N569" si="853">K567-I567</f>
        <v>1815827.0096369232</v>
      </c>
      <c r="O567" s="776">
        <f t="shared" ref="O567:O569" si="854">$L$6*N567</f>
        <v>272374.05144553847</v>
      </c>
      <c r="P567" s="776">
        <f t="shared" ref="P567:P569" si="855">N567+O567</f>
        <v>2088201.0610824616</v>
      </c>
      <c r="Q567" s="779">
        <f>Q563</f>
        <v>50516.081846153851</v>
      </c>
    </row>
    <row r="568" spans="1:17" s="780" customFormat="1">
      <c r="A568" s="811" t="s">
        <v>767</v>
      </c>
      <c r="B568" s="810" t="s">
        <v>769</v>
      </c>
      <c r="C568" s="804" t="s">
        <v>51</v>
      </c>
      <c r="D568" s="801" t="s">
        <v>31</v>
      </c>
      <c r="E568" s="779">
        <f t="shared" ref="E568:E569" si="856">E564</f>
        <v>1771840.4913000003</v>
      </c>
      <c r="F568" s="779"/>
      <c r="G568" s="779">
        <f t="shared" si="849"/>
        <v>9373.6224769230776</v>
      </c>
      <c r="H568" s="779">
        <f t="shared" si="849"/>
        <v>7632.2919999999995</v>
      </c>
      <c r="I568" s="779">
        <f t="shared" si="849"/>
        <v>8315.1034500000005</v>
      </c>
      <c r="J568" s="779">
        <f t="shared" si="849"/>
        <v>19126.92726</v>
      </c>
      <c r="K568" s="776">
        <f t="shared" si="850"/>
        <v>1816288.4364869234</v>
      </c>
      <c r="L568" s="776">
        <f t="shared" si="851"/>
        <v>272443.26547303848</v>
      </c>
      <c r="M568" s="776">
        <f t="shared" si="852"/>
        <v>2088731.7019599618</v>
      </c>
      <c r="N568" s="776">
        <f t="shared" si="853"/>
        <v>1807973.3330369233</v>
      </c>
      <c r="O568" s="776">
        <f t="shared" si="854"/>
        <v>271195.99995553849</v>
      </c>
      <c r="P568" s="776">
        <f t="shared" si="855"/>
        <v>2079169.3329924617</v>
      </c>
      <c r="Q568" s="779">
        <f t="shared" ref="Q568:Q569" si="857">Q564</f>
        <v>50310.529076923078</v>
      </c>
    </row>
    <row r="569" spans="1:17" s="780" customFormat="1">
      <c r="A569" s="811" t="s">
        <v>767</v>
      </c>
      <c r="B569" s="810" t="s">
        <v>770</v>
      </c>
      <c r="C569" s="804" t="s">
        <v>51</v>
      </c>
      <c r="D569" s="801" t="s">
        <v>31</v>
      </c>
      <c r="E569" s="779">
        <f t="shared" si="856"/>
        <v>2287901.0236500003</v>
      </c>
      <c r="F569" s="779"/>
      <c r="G569" s="779">
        <f t="shared" si="849"/>
        <v>12185.709220000001</v>
      </c>
      <c r="H569" s="779">
        <f t="shared" si="849"/>
        <v>7632.2919999999995</v>
      </c>
      <c r="I569" s="779">
        <f t="shared" si="849"/>
        <v>10809.634485</v>
      </c>
      <c r="J569" s="779">
        <f t="shared" si="849"/>
        <v>24865.005438</v>
      </c>
      <c r="K569" s="776">
        <f t="shared" si="850"/>
        <v>2343393.6647930001</v>
      </c>
      <c r="L569" s="776">
        <f t="shared" si="851"/>
        <v>351509.04971895</v>
      </c>
      <c r="M569" s="776">
        <f t="shared" si="852"/>
        <v>2694902.71451195</v>
      </c>
      <c r="N569" s="776">
        <f t="shared" si="853"/>
        <v>2332584.0303080003</v>
      </c>
      <c r="O569" s="776">
        <f t="shared" si="854"/>
        <v>349887.60454620002</v>
      </c>
      <c r="P569" s="776">
        <f t="shared" si="855"/>
        <v>2682471.6348542003</v>
      </c>
      <c r="Q569" s="779">
        <f t="shared" si="857"/>
        <v>64942.531076923078</v>
      </c>
    </row>
    <row r="570" spans="1:17" s="780" customFormat="1">
      <c r="A570" s="771">
        <v>8</v>
      </c>
      <c r="B570" s="774" t="s">
        <v>258</v>
      </c>
      <c r="C570" s="771" t="s">
        <v>51</v>
      </c>
      <c r="D570" s="771" t="s">
        <v>31</v>
      </c>
      <c r="E570" s="779"/>
      <c r="F570" s="779"/>
      <c r="G570" s="779"/>
      <c r="H570" s="779"/>
      <c r="I570" s="779"/>
      <c r="J570" s="779"/>
      <c r="K570" s="779"/>
      <c r="L570" s="779"/>
      <c r="M570" s="779"/>
      <c r="N570" s="779"/>
      <c r="O570" s="779"/>
      <c r="P570" s="779"/>
      <c r="Q570" s="779"/>
    </row>
    <row r="571" spans="1:17" s="780" customFormat="1">
      <c r="A571" s="771">
        <v>8.1</v>
      </c>
      <c r="B571" s="808" t="s">
        <v>771</v>
      </c>
      <c r="C571" s="804" t="s">
        <v>51</v>
      </c>
      <c r="D571" s="801" t="s">
        <v>31</v>
      </c>
      <c r="E571" s="779"/>
      <c r="F571" s="779"/>
      <c r="G571" s="779"/>
      <c r="H571" s="779"/>
      <c r="I571" s="779"/>
      <c r="J571" s="779"/>
      <c r="K571" s="779"/>
      <c r="L571" s="779"/>
      <c r="M571" s="779"/>
      <c r="N571" s="779"/>
      <c r="O571" s="779"/>
      <c r="P571" s="779"/>
      <c r="Q571" s="779"/>
    </row>
    <row r="572" spans="1:17" s="780" customFormat="1">
      <c r="A572" s="811" t="s">
        <v>767</v>
      </c>
      <c r="B572" s="810" t="s">
        <v>768</v>
      </c>
      <c r="C572" s="804" t="s">
        <v>51</v>
      </c>
      <c r="D572" s="801" t="s">
        <v>31</v>
      </c>
      <c r="E572" s="779">
        <f>NCong!M601</f>
        <v>1782486.0735000002</v>
      </c>
      <c r="F572" s="779"/>
      <c r="G572" s="779">
        <f>G563</f>
        <v>15622.70412820513</v>
      </c>
      <c r="H572" s="779">
        <f t="shared" ref="H572:J572" si="858">H563</f>
        <v>27173.82</v>
      </c>
      <c r="I572" s="779">
        <f t="shared" si="858"/>
        <v>13858.50575</v>
      </c>
      <c r="J572" s="779">
        <f t="shared" si="858"/>
        <v>31878.212100000001</v>
      </c>
      <c r="K572" s="776">
        <f t="shared" ref="K572:K574" si="859">SUM(E572:J572)</f>
        <v>1871019.3154782052</v>
      </c>
      <c r="L572" s="776">
        <f t="shared" ref="L572:L574" si="860">K572*15%</f>
        <v>280652.89732173079</v>
      </c>
      <c r="M572" s="776">
        <f t="shared" ref="M572:M574" si="861">K572+L572</f>
        <v>2151672.2127999361</v>
      </c>
      <c r="N572" s="776">
        <f t="shared" ref="N572:N574" si="862">K572-I572</f>
        <v>1857160.8097282052</v>
      </c>
      <c r="O572" s="776">
        <f t="shared" ref="O572:O574" si="863">$L$6*N572</f>
        <v>278574.12145923078</v>
      </c>
      <c r="P572" s="776">
        <f t="shared" ref="P572:P574" si="864">N572+O572</f>
        <v>2135734.931187436</v>
      </c>
      <c r="Q572" s="779">
        <f>NCong!P601</f>
        <v>50591.43692307693</v>
      </c>
    </row>
    <row r="573" spans="1:17" s="780" customFormat="1">
      <c r="A573" s="811" t="s">
        <v>767</v>
      </c>
      <c r="B573" s="810" t="s">
        <v>769</v>
      </c>
      <c r="C573" s="804" t="s">
        <v>51</v>
      </c>
      <c r="D573" s="801" t="s">
        <v>31</v>
      </c>
      <c r="E573" s="779">
        <f>NCong!N601</f>
        <v>1773458.5275000003</v>
      </c>
      <c r="F573" s="779"/>
      <c r="G573" s="779">
        <f t="shared" ref="G573:J574" si="865">G564</f>
        <v>15622.70412820513</v>
      </c>
      <c r="H573" s="779">
        <f t="shared" si="865"/>
        <v>27173.82</v>
      </c>
      <c r="I573" s="779">
        <f t="shared" si="865"/>
        <v>13858.50575</v>
      </c>
      <c r="J573" s="779">
        <f t="shared" si="865"/>
        <v>31878.212100000001</v>
      </c>
      <c r="K573" s="776">
        <f t="shared" si="859"/>
        <v>1861991.7694782054</v>
      </c>
      <c r="L573" s="776">
        <f t="shared" si="860"/>
        <v>279298.76542173082</v>
      </c>
      <c r="M573" s="776">
        <f t="shared" si="861"/>
        <v>2141290.5348999361</v>
      </c>
      <c r="N573" s="776">
        <f t="shared" si="862"/>
        <v>1848133.2637282053</v>
      </c>
      <c r="O573" s="776">
        <f t="shared" si="863"/>
        <v>277219.9895592308</v>
      </c>
      <c r="P573" s="776">
        <f t="shared" si="864"/>
        <v>2125353.253287436</v>
      </c>
      <c r="Q573" s="779">
        <f>NCong!Q601</f>
        <v>50354.200769230767</v>
      </c>
    </row>
    <row r="574" spans="1:17" s="780" customFormat="1">
      <c r="A574" s="811" t="s">
        <v>767</v>
      </c>
      <c r="B574" s="810" t="s">
        <v>770</v>
      </c>
      <c r="C574" s="804" t="s">
        <v>51</v>
      </c>
      <c r="D574" s="801" t="s">
        <v>31</v>
      </c>
      <c r="E574" s="779">
        <f>NCong!O601</f>
        <v>2291644.7152500004</v>
      </c>
      <c r="F574" s="779"/>
      <c r="G574" s="779">
        <f t="shared" si="865"/>
        <v>20309.51536666667</v>
      </c>
      <c r="H574" s="779">
        <f t="shared" si="865"/>
        <v>27173.82</v>
      </c>
      <c r="I574" s="779">
        <f t="shared" si="865"/>
        <v>18016.057475000001</v>
      </c>
      <c r="J574" s="779">
        <f t="shared" si="865"/>
        <v>41441.675730000003</v>
      </c>
      <c r="K574" s="776">
        <f t="shared" si="859"/>
        <v>2398585.7838216666</v>
      </c>
      <c r="L574" s="776">
        <f t="shared" si="860"/>
        <v>359787.86757324997</v>
      </c>
      <c r="M574" s="776">
        <f t="shared" si="861"/>
        <v>2758373.6513949167</v>
      </c>
      <c r="N574" s="776">
        <f t="shared" si="862"/>
        <v>2380569.7263466665</v>
      </c>
      <c r="O574" s="776">
        <f t="shared" si="863"/>
        <v>357085.45895199996</v>
      </c>
      <c r="P574" s="776">
        <f t="shared" si="864"/>
        <v>2737655.1852986664</v>
      </c>
      <c r="Q574" s="779">
        <f>NCong!R601</f>
        <v>65043.575384615389</v>
      </c>
    </row>
    <row r="575" spans="1:17" s="780" customFormat="1">
      <c r="A575" s="771">
        <v>8.1999999999999993</v>
      </c>
      <c r="B575" s="808" t="s">
        <v>772</v>
      </c>
      <c r="C575" s="804" t="s">
        <v>51</v>
      </c>
      <c r="D575" s="801" t="s">
        <v>31</v>
      </c>
      <c r="E575" s="779"/>
      <c r="F575" s="779"/>
      <c r="G575" s="779"/>
      <c r="H575" s="779"/>
      <c r="I575" s="779"/>
      <c r="J575" s="779"/>
      <c r="K575" s="779"/>
      <c r="L575" s="779"/>
      <c r="M575" s="779"/>
      <c r="N575" s="779"/>
      <c r="O575" s="779"/>
      <c r="P575" s="779"/>
      <c r="Q575" s="779"/>
    </row>
    <row r="576" spans="1:17" s="780" customFormat="1">
      <c r="A576" s="811" t="s">
        <v>767</v>
      </c>
      <c r="B576" s="810" t="s">
        <v>768</v>
      </c>
      <c r="C576" s="804" t="s">
        <v>51</v>
      </c>
      <c r="D576" s="801" t="s">
        <v>31</v>
      </c>
      <c r="E576" s="779">
        <f>E572</f>
        <v>1782486.0735000002</v>
      </c>
      <c r="F576" s="779"/>
      <c r="G576" s="779">
        <f>G567</f>
        <v>9373.6224769230776</v>
      </c>
      <c r="H576" s="779">
        <f t="shared" ref="H576:J576" si="866">H567</f>
        <v>7632.2919999999995</v>
      </c>
      <c r="I576" s="779">
        <f t="shared" si="866"/>
        <v>8315.1034500000005</v>
      </c>
      <c r="J576" s="779">
        <f t="shared" si="866"/>
        <v>19126.92726</v>
      </c>
      <c r="K576" s="776">
        <f t="shared" ref="K576:K578" si="867">SUM(E576:J576)</f>
        <v>1826934.0186869232</v>
      </c>
      <c r="L576" s="776">
        <f t="shared" ref="L576:L578" si="868">K576*15%</f>
        <v>274040.10280303849</v>
      </c>
      <c r="M576" s="776">
        <f t="shared" ref="M576:M578" si="869">K576+L576</f>
        <v>2100974.1214899616</v>
      </c>
      <c r="N576" s="776">
        <f t="shared" ref="N576:N578" si="870">K576-I576</f>
        <v>1818618.9152369231</v>
      </c>
      <c r="O576" s="776">
        <f t="shared" ref="O576:O578" si="871">$L$6*N576</f>
        <v>272792.83728553844</v>
      </c>
      <c r="P576" s="776">
        <f t="shared" ref="P576:P578" si="872">N576+O576</f>
        <v>2091411.7525224616</v>
      </c>
      <c r="Q576" s="779">
        <f>Q572</f>
        <v>50591.43692307693</v>
      </c>
    </row>
    <row r="577" spans="1:17" s="780" customFormat="1">
      <c r="A577" s="811" t="s">
        <v>767</v>
      </c>
      <c r="B577" s="810" t="s">
        <v>769</v>
      </c>
      <c r="C577" s="804" t="s">
        <v>51</v>
      </c>
      <c r="D577" s="801" t="s">
        <v>31</v>
      </c>
      <c r="E577" s="779">
        <f t="shared" ref="E577:E578" si="873">E573</f>
        <v>1773458.5275000003</v>
      </c>
      <c r="F577" s="779"/>
      <c r="G577" s="779">
        <f t="shared" ref="G577:J578" si="874">G568</f>
        <v>9373.6224769230776</v>
      </c>
      <c r="H577" s="779">
        <f t="shared" si="874"/>
        <v>7632.2919999999995</v>
      </c>
      <c r="I577" s="779">
        <f t="shared" si="874"/>
        <v>8315.1034500000005</v>
      </c>
      <c r="J577" s="779">
        <f t="shared" si="874"/>
        <v>19126.92726</v>
      </c>
      <c r="K577" s="776">
        <f t="shared" si="867"/>
        <v>1817906.4726869233</v>
      </c>
      <c r="L577" s="776">
        <f t="shared" si="868"/>
        <v>272685.97090303851</v>
      </c>
      <c r="M577" s="776">
        <f t="shared" si="869"/>
        <v>2090592.4435899619</v>
      </c>
      <c r="N577" s="776">
        <f t="shared" si="870"/>
        <v>1809591.3692369233</v>
      </c>
      <c r="O577" s="776">
        <f t="shared" si="871"/>
        <v>271438.70538553846</v>
      </c>
      <c r="P577" s="776">
        <f t="shared" si="872"/>
        <v>2081030.0746224618</v>
      </c>
      <c r="Q577" s="779">
        <f t="shared" ref="Q577:Q578" si="875">Q573</f>
        <v>50354.200769230767</v>
      </c>
    </row>
    <row r="578" spans="1:17" s="780" customFormat="1">
      <c r="A578" s="811" t="s">
        <v>767</v>
      </c>
      <c r="B578" s="810" t="s">
        <v>770</v>
      </c>
      <c r="C578" s="804" t="s">
        <v>51</v>
      </c>
      <c r="D578" s="801" t="s">
        <v>31</v>
      </c>
      <c r="E578" s="779">
        <f t="shared" si="873"/>
        <v>2291644.7152500004</v>
      </c>
      <c r="F578" s="779"/>
      <c r="G578" s="779">
        <f t="shared" si="874"/>
        <v>12185.709220000001</v>
      </c>
      <c r="H578" s="779">
        <f t="shared" si="874"/>
        <v>7632.2919999999995</v>
      </c>
      <c r="I578" s="779">
        <f t="shared" si="874"/>
        <v>10809.634485</v>
      </c>
      <c r="J578" s="779">
        <f t="shared" si="874"/>
        <v>24865.005438</v>
      </c>
      <c r="K578" s="776">
        <f t="shared" si="867"/>
        <v>2347137.3563930001</v>
      </c>
      <c r="L578" s="776">
        <f t="shared" si="868"/>
        <v>352070.60345895001</v>
      </c>
      <c r="M578" s="776">
        <f t="shared" si="869"/>
        <v>2699207.9598519499</v>
      </c>
      <c r="N578" s="776">
        <f t="shared" si="870"/>
        <v>2336327.7219080003</v>
      </c>
      <c r="O578" s="776">
        <f t="shared" si="871"/>
        <v>350449.15828620002</v>
      </c>
      <c r="P578" s="776">
        <f t="shared" si="872"/>
        <v>2686776.8801942002</v>
      </c>
      <c r="Q578" s="779">
        <f t="shared" si="875"/>
        <v>65043.575384615389</v>
      </c>
    </row>
    <row r="579" spans="1:17" s="780" customFormat="1">
      <c r="A579" s="771">
        <v>9</v>
      </c>
      <c r="B579" s="774" t="s">
        <v>259</v>
      </c>
      <c r="C579" s="771" t="s">
        <v>51</v>
      </c>
      <c r="D579" s="771" t="s">
        <v>31</v>
      </c>
      <c r="E579" s="779"/>
      <c r="F579" s="779"/>
      <c r="G579" s="779"/>
      <c r="H579" s="779"/>
      <c r="I579" s="779"/>
      <c r="J579" s="779"/>
      <c r="K579" s="779"/>
      <c r="L579" s="779"/>
      <c r="M579" s="779"/>
      <c r="N579" s="779"/>
      <c r="O579" s="779"/>
      <c r="P579" s="779"/>
      <c r="Q579" s="779"/>
    </row>
    <row r="580" spans="1:17" s="780" customFormat="1">
      <c r="A580" s="771">
        <v>9.1</v>
      </c>
      <c r="B580" s="808" t="s">
        <v>771</v>
      </c>
      <c r="C580" s="804" t="s">
        <v>51</v>
      </c>
      <c r="D580" s="801" t="s">
        <v>31</v>
      </c>
      <c r="E580" s="779"/>
      <c r="F580" s="779"/>
      <c r="G580" s="779"/>
      <c r="H580" s="779"/>
      <c r="I580" s="779"/>
      <c r="J580" s="779"/>
      <c r="K580" s="779"/>
      <c r="L580" s="779"/>
      <c r="M580" s="779"/>
      <c r="N580" s="779"/>
      <c r="O580" s="779"/>
      <c r="P580" s="779"/>
      <c r="Q580" s="779"/>
    </row>
    <row r="581" spans="1:17" s="780" customFormat="1">
      <c r="A581" s="811" t="s">
        <v>767</v>
      </c>
      <c r="B581" s="810" t="s">
        <v>768</v>
      </c>
      <c r="C581" s="804" t="s">
        <v>51</v>
      </c>
      <c r="D581" s="801" t="s">
        <v>31</v>
      </c>
      <c r="E581" s="779">
        <f>NCong!M602</f>
        <v>1781090.1207000001</v>
      </c>
      <c r="F581" s="779"/>
      <c r="G581" s="779">
        <f>G572</f>
        <v>15622.70412820513</v>
      </c>
      <c r="H581" s="779">
        <f t="shared" ref="H581:J581" si="876">H572</f>
        <v>27173.82</v>
      </c>
      <c r="I581" s="779">
        <f t="shared" si="876"/>
        <v>13858.50575</v>
      </c>
      <c r="J581" s="779">
        <f t="shared" si="876"/>
        <v>31878.212100000001</v>
      </c>
      <c r="K581" s="776">
        <f t="shared" ref="K581:K583" si="877">SUM(E581:J581)</f>
        <v>1869623.3626782051</v>
      </c>
      <c r="L581" s="776">
        <f t="shared" ref="L581:L583" si="878">K581*15%</f>
        <v>280443.50440173078</v>
      </c>
      <c r="M581" s="776">
        <f t="shared" ref="M581:M583" si="879">K581+L581</f>
        <v>2150066.867079936</v>
      </c>
      <c r="N581" s="776">
        <f t="shared" ref="N581:N583" si="880">K581-I581</f>
        <v>1855764.8569282051</v>
      </c>
      <c r="O581" s="776">
        <f t="shared" ref="O581:O583" si="881">$L$6*N581</f>
        <v>278364.72853923077</v>
      </c>
      <c r="P581" s="776">
        <f t="shared" ref="P581:P583" si="882">N581+O581</f>
        <v>2134129.5854674359</v>
      </c>
      <c r="Q581" s="779">
        <f>NCong!P602</f>
        <v>50553.75938461539</v>
      </c>
    </row>
    <row r="582" spans="1:17" s="780" customFormat="1">
      <c r="A582" s="811" t="s">
        <v>767</v>
      </c>
      <c r="B582" s="810" t="s">
        <v>769</v>
      </c>
      <c r="C582" s="804" t="s">
        <v>51</v>
      </c>
      <c r="D582" s="801" t="s">
        <v>31</v>
      </c>
      <c r="E582" s="779">
        <f>NCong!N602</f>
        <v>1772649.5094000003</v>
      </c>
      <c r="F582" s="779"/>
      <c r="G582" s="779">
        <f t="shared" ref="G582:J583" si="883">G573</f>
        <v>15622.70412820513</v>
      </c>
      <c r="H582" s="779">
        <f t="shared" si="883"/>
        <v>27173.82</v>
      </c>
      <c r="I582" s="779">
        <f t="shared" si="883"/>
        <v>13858.50575</v>
      </c>
      <c r="J582" s="779">
        <f t="shared" si="883"/>
        <v>31878.212100000001</v>
      </c>
      <c r="K582" s="776">
        <f t="shared" si="877"/>
        <v>1861182.7513782054</v>
      </c>
      <c r="L582" s="776">
        <f t="shared" si="878"/>
        <v>279177.41270673077</v>
      </c>
      <c r="M582" s="776">
        <f t="shared" si="879"/>
        <v>2140360.164084936</v>
      </c>
      <c r="N582" s="776">
        <f t="shared" si="880"/>
        <v>1847324.2456282054</v>
      </c>
      <c r="O582" s="776">
        <f t="shared" si="881"/>
        <v>277098.63684423082</v>
      </c>
      <c r="P582" s="776">
        <f t="shared" si="882"/>
        <v>2124422.8824724359</v>
      </c>
      <c r="Q582" s="779">
        <f>NCong!Q602</f>
        <v>50332.364923076922</v>
      </c>
    </row>
    <row r="583" spans="1:17" s="780" customFormat="1">
      <c r="A583" s="811" t="s">
        <v>767</v>
      </c>
      <c r="B583" s="810" t="s">
        <v>770</v>
      </c>
      <c r="C583" s="804" t="s">
        <v>51</v>
      </c>
      <c r="D583" s="801" t="s">
        <v>31</v>
      </c>
      <c r="E583" s="779">
        <f>NCong!O602</f>
        <v>2289772.8694500001</v>
      </c>
      <c r="F583" s="779"/>
      <c r="G583" s="779">
        <f t="shared" si="883"/>
        <v>20309.51536666667</v>
      </c>
      <c r="H583" s="779">
        <f t="shared" si="883"/>
        <v>27173.82</v>
      </c>
      <c r="I583" s="779">
        <f t="shared" si="883"/>
        <v>18016.057475000001</v>
      </c>
      <c r="J583" s="779">
        <f t="shared" si="883"/>
        <v>41441.675730000003</v>
      </c>
      <c r="K583" s="776">
        <f t="shared" si="877"/>
        <v>2396713.9380216664</v>
      </c>
      <c r="L583" s="776">
        <f t="shared" si="878"/>
        <v>359507.09070324997</v>
      </c>
      <c r="M583" s="776">
        <f t="shared" si="879"/>
        <v>2756221.0287249163</v>
      </c>
      <c r="N583" s="776">
        <f t="shared" si="880"/>
        <v>2378697.8805466662</v>
      </c>
      <c r="O583" s="776">
        <f t="shared" si="881"/>
        <v>356804.6820819999</v>
      </c>
      <c r="P583" s="776">
        <f t="shared" si="882"/>
        <v>2735502.5626286659</v>
      </c>
      <c r="Q583" s="779">
        <f>NCong!R602</f>
        <v>64993.053230769234</v>
      </c>
    </row>
    <row r="584" spans="1:17" s="780" customFormat="1">
      <c r="A584" s="771">
        <v>9.1999999999999993</v>
      </c>
      <c r="B584" s="808" t="s">
        <v>772</v>
      </c>
      <c r="C584" s="804" t="s">
        <v>51</v>
      </c>
      <c r="D584" s="801" t="s">
        <v>31</v>
      </c>
      <c r="E584" s="779"/>
      <c r="F584" s="779"/>
      <c r="G584" s="779"/>
      <c r="H584" s="779"/>
      <c r="I584" s="779"/>
      <c r="J584" s="779"/>
      <c r="K584" s="779"/>
      <c r="L584" s="779"/>
      <c r="M584" s="779"/>
      <c r="N584" s="779"/>
      <c r="O584" s="779"/>
      <c r="P584" s="779"/>
      <c r="Q584" s="779"/>
    </row>
    <row r="585" spans="1:17" s="780" customFormat="1">
      <c r="A585" s="811" t="s">
        <v>767</v>
      </c>
      <c r="B585" s="810" t="s">
        <v>768</v>
      </c>
      <c r="C585" s="804" t="s">
        <v>51</v>
      </c>
      <c r="D585" s="801" t="s">
        <v>31</v>
      </c>
      <c r="E585" s="779">
        <f>E581</f>
        <v>1781090.1207000001</v>
      </c>
      <c r="F585" s="779"/>
      <c r="G585" s="779">
        <f t="shared" ref="G585:J587" si="884">G576</f>
        <v>9373.6224769230776</v>
      </c>
      <c r="H585" s="779">
        <f t="shared" si="884"/>
        <v>7632.2919999999995</v>
      </c>
      <c r="I585" s="779">
        <f t="shared" si="884"/>
        <v>8315.1034500000005</v>
      </c>
      <c r="J585" s="779">
        <f t="shared" si="884"/>
        <v>19126.92726</v>
      </c>
      <c r="K585" s="776">
        <f t="shared" ref="K585:K587" si="885">SUM(E585:J585)</f>
        <v>1825538.0658869231</v>
      </c>
      <c r="L585" s="776">
        <f t="shared" ref="L585:L587" si="886">K585*15%</f>
        <v>273830.70988303848</v>
      </c>
      <c r="M585" s="776">
        <f t="shared" ref="M585:M587" si="887">K585+L585</f>
        <v>2099368.7757699615</v>
      </c>
      <c r="N585" s="776">
        <f t="shared" ref="N585:N587" si="888">K585-I585</f>
        <v>1817222.9624369231</v>
      </c>
      <c r="O585" s="776">
        <f t="shared" ref="O585:O587" si="889">$L$6*N585</f>
        <v>272583.44436553842</v>
      </c>
      <c r="P585" s="776">
        <f t="shared" ref="P585:P587" si="890">N585+O585</f>
        <v>2089806.4068024615</v>
      </c>
      <c r="Q585" s="779">
        <f>Q581</f>
        <v>50553.75938461539</v>
      </c>
    </row>
    <row r="586" spans="1:17" s="780" customFormat="1">
      <c r="A586" s="811" t="s">
        <v>767</v>
      </c>
      <c r="B586" s="810" t="s">
        <v>769</v>
      </c>
      <c r="C586" s="804" t="s">
        <v>51</v>
      </c>
      <c r="D586" s="801" t="s">
        <v>31</v>
      </c>
      <c r="E586" s="779">
        <f t="shared" ref="E586:E587" si="891">E582</f>
        <v>1772649.5094000003</v>
      </c>
      <c r="F586" s="779"/>
      <c r="G586" s="779">
        <f t="shared" si="884"/>
        <v>9373.6224769230776</v>
      </c>
      <c r="H586" s="779">
        <f t="shared" si="884"/>
        <v>7632.2919999999995</v>
      </c>
      <c r="I586" s="779">
        <f t="shared" si="884"/>
        <v>8315.1034500000005</v>
      </c>
      <c r="J586" s="779">
        <f t="shared" si="884"/>
        <v>19126.92726</v>
      </c>
      <c r="K586" s="776">
        <f t="shared" si="885"/>
        <v>1817097.4545869234</v>
      </c>
      <c r="L586" s="776">
        <f t="shared" si="886"/>
        <v>272564.61818803847</v>
      </c>
      <c r="M586" s="776">
        <f t="shared" si="887"/>
        <v>2089662.0727749618</v>
      </c>
      <c r="N586" s="776">
        <f t="shared" si="888"/>
        <v>1808782.3511369233</v>
      </c>
      <c r="O586" s="776">
        <f t="shared" si="889"/>
        <v>271317.35267053847</v>
      </c>
      <c r="P586" s="776">
        <f t="shared" si="890"/>
        <v>2080099.7038074618</v>
      </c>
      <c r="Q586" s="779">
        <f t="shared" ref="Q586:Q587" si="892">Q582</f>
        <v>50332.364923076922</v>
      </c>
    </row>
    <row r="587" spans="1:17" s="780" customFormat="1">
      <c r="A587" s="811" t="s">
        <v>767</v>
      </c>
      <c r="B587" s="810" t="s">
        <v>770</v>
      </c>
      <c r="C587" s="804" t="s">
        <v>51</v>
      </c>
      <c r="D587" s="801" t="s">
        <v>31</v>
      </c>
      <c r="E587" s="779">
        <f t="shared" si="891"/>
        <v>2289772.8694500001</v>
      </c>
      <c r="F587" s="779"/>
      <c r="G587" s="779">
        <f t="shared" si="884"/>
        <v>12185.709220000001</v>
      </c>
      <c r="H587" s="779">
        <f t="shared" si="884"/>
        <v>7632.2919999999995</v>
      </c>
      <c r="I587" s="779">
        <f t="shared" si="884"/>
        <v>10809.634485</v>
      </c>
      <c r="J587" s="779">
        <f t="shared" si="884"/>
        <v>24865.005438</v>
      </c>
      <c r="K587" s="776">
        <f t="shared" si="885"/>
        <v>2345265.5105929999</v>
      </c>
      <c r="L587" s="776">
        <f t="shared" si="886"/>
        <v>351789.82658894995</v>
      </c>
      <c r="M587" s="776">
        <f t="shared" si="887"/>
        <v>2697055.33718195</v>
      </c>
      <c r="N587" s="776">
        <f t="shared" si="888"/>
        <v>2334455.8761080001</v>
      </c>
      <c r="O587" s="776">
        <f t="shared" si="889"/>
        <v>350168.38141620002</v>
      </c>
      <c r="P587" s="776">
        <f t="shared" si="890"/>
        <v>2684624.2575242002</v>
      </c>
      <c r="Q587" s="779">
        <f t="shared" si="892"/>
        <v>64993.053230769234</v>
      </c>
    </row>
    <row r="588" spans="1:17" s="780" customFormat="1" ht="14">
      <c r="A588" s="771">
        <v>10</v>
      </c>
      <c r="B588" s="774" t="s">
        <v>260</v>
      </c>
      <c r="C588" s="771" t="s">
        <v>51</v>
      </c>
      <c r="D588" s="771" t="s">
        <v>31</v>
      </c>
      <c r="E588" s="779"/>
      <c r="F588" s="779"/>
      <c r="G588" s="779"/>
      <c r="H588" s="779"/>
      <c r="I588" s="779"/>
      <c r="J588" s="779"/>
      <c r="K588" s="779"/>
      <c r="L588" s="779"/>
      <c r="M588" s="779"/>
      <c r="N588" s="779"/>
      <c r="O588" s="779"/>
      <c r="P588" s="779"/>
      <c r="Q588" s="779"/>
    </row>
    <row r="589" spans="1:17" s="780" customFormat="1">
      <c r="A589" s="771">
        <v>10.1</v>
      </c>
      <c r="B589" s="808" t="s">
        <v>771</v>
      </c>
      <c r="C589" s="804" t="s">
        <v>51</v>
      </c>
      <c r="D589" s="801" t="s">
        <v>31</v>
      </c>
      <c r="E589" s="779"/>
      <c r="F589" s="779"/>
      <c r="G589" s="779"/>
      <c r="H589" s="779"/>
      <c r="I589" s="779"/>
      <c r="J589" s="779"/>
      <c r="K589" s="779"/>
      <c r="L589" s="779"/>
      <c r="M589" s="779"/>
      <c r="N589" s="779"/>
      <c r="O589" s="779"/>
      <c r="P589" s="779"/>
      <c r="Q589" s="779"/>
    </row>
    <row r="590" spans="1:17" s="780" customFormat="1">
      <c r="A590" s="811" t="s">
        <v>767</v>
      </c>
      <c r="B590" s="810" t="s">
        <v>768</v>
      </c>
      <c r="C590" s="804" t="s">
        <v>51</v>
      </c>
      <c r="D590" s="801" t="s">
        <v>31</v>
      </c>
      <c r="E590" s="779">
        <f>NCong!M603</f>
        <v>1782486.0735000002</v>
      </c>
      <c r="F590" s="779"/>
      <c r="G590" s="779">
        <f>G581</f>
        <v>15622.70412820513</v>
      </c>
      <c r="H590" s="779">
        <f t="shared" ref="H590:J590" si="893">H581</f>
        <v>27173.82</v>
      </c>
      <c r="I590" s="779">
        <f t="shared" si="893"/>
        <v>13858.50575</v>
      </c>
      <c r="J590" s="779">
        <f t="shared" si="893"/>
        <v>31878.212100000001</v>
      </c>
      <c r="K590" s="776">
        <f t="shared" ref="K590:K596" si="894">SUM(E590:J590)</f>
        <v>1871019.3154782052</v>
      </c>
      <c r="L590" s="776">
        <f t="shared" ref="L590:L596" si="895">K590*15%</f>
        <v>280652.89732173079</v>
      </c>
      <c r="M590" s="776">
        <f t="shared" ref="M590:M596" si="896">K590+L590</f>
        <v>2151672.2127999361</v>
      </c>
      <c r="N590" s="776">
        <f t="shared" ref="N590:N596" si="897">K590-I590</f>
        <v>1857160.8097282052</v>
      </c>
      <c r="O590" s="776">
        <f t="shared" ref="O590:O596" si="898">$L$6*N590</f>
        <v>278574.12145923078</v>
      </c>
      <c r="P590" s="776">
        <f t="shared" ref="P590:P596" si="899">N590+O590</f>
        <v>2135734.931187436</v>
      </c>
      <c r="Q590" s="779">
        <f>NCong!P603</f>
        <v>50591.43692307693</v>
      </c>
    </row>
    <row r="591" spans="1:17" s="780" customFormat="1">
      <c r="A591" s="811" t="s">
        <v>767</v>
      </c>
      <c r="B591" s="810" t="s">
        <v>769</v>
      </c>
      <c r="C591" s="804" t="s">
        <v>51</v>
      </c>
      <c r="D591" s="801" t="s">
        <v>31</v>
      </c>
      <c r="E591" s="779">
        <f>NCong!N603</f>
        <v>1773458.5275000003</v>
      </c>
      <c r="F591" s="779"/>
      <c r="G591" s="779">
        <f t="shared" ref="G591:J596" si="900">G582</f>
        <v>15622.70412820513</v>
      </c>
      <c r="H591" s="779">
        <f t="shared" si="900"/>
        <v>27173.82</v>
      </c>
      <c r="I591" s="779">
        <f t="shared" si="900"/>
        <v>13858.50575</v>
      </c>
      <c r="J591" s="779">
        <f t="shared" si="900"/>
        <v>31878.212100000001</v>
      </c>
      <c r="K591" s="776">
        <f t="shared" si="894"/>
        <v>1861991.7694782054</v>
      </c>
      <c r="L591" s="776">
        <f t="shared" si="895"/>
        <v>279298.76542173082</v>
      </c>
      <c r="M591" s="776">
        <f t="shared" si="896"/>
        <v>2141290.5348999361</v>
      </c>
      <c r="N591" s="776">
        <f t="shared" si="897"/>
        <v>1848133.2637282053</v>
      </c>
      <c r="O591" s="776">
        <f t="shared" si="898"/>
        <v>277219.9895592308</v>
      </c>
      <c r="P591" s="776">
        <f t="shared" si="899"/>
        <v>2125353.253287436</v>
      </c>
      <c r="Q591" s="779">
        <f>NCong!Q603</f>
        <v>50354.200769230767</v>
      </c>
    </row>
    <row r="592" spans="1:17" s="780" customFormat="1">
      <c r="A592" s="811" t="s">
        <v>767</v>
      </c>
      <c r="B592" s="810" t="s">
        <v>770</v>
      </c>
      <c r="C592" s="804" t="s">
        <v>51</v>
      </c>
      <c r="D592" s="801" t="s">
        <v>31</v>
      </c>
      <c r="E592" s="779">
        <f>NCong!O603</f>
        <v>2291644.7152500004</v>
      </c>
      <c r="F592" s="779"/>
      <c r="G592" s="779">
        <f t="shared" si="900"/>
        <v>20309.51536666667</v>
      </c>
      <c r="H592" s="779">
        <f t="shared" si="900"/>
        <v>27173.82</v>
      </c>
      <c r="I592" s="779">
        <f t="shared" si="900"/>
        <v>18016.057475000001</v>
      </c>
      <c r="J592" s="779">
        <f t="shared" si="900"/>
        <v>41441.675730000003</v>
      </c>
      <c r="K592" s="776">
        <f t="shared" si="894"/>
        <v>2398585.7838216666</v>
      </c>
      <c r="L592" s="776">
        <f t="shared" si="895"/>
        <v>359787.86757324997</v>
      </c>
      <c r="M592" s="776">
        <f t="shared" si="896"/>
        <v>2758373.6513949167</v>
      </c>
      <c r="N592" s="776">
        <f t="shared" si="897"/>
        <v>2380569.7263466665</v>
      </c>
      <c r="O592" s="776">
        <f t="shared" si="898"/>
        <v>357085.45895199996</v>
      </c>
      <c r="P592" s="776">
        <f t="shared" si="899"/>
        <v>2737655.1852986664</v>
      </c>
      <c r="Q592" s="779">
        <f>NCong!R603</f>
        <v>65043.575384615389</v>
      </c>
    </row>
    <row r="593" spans="1:17" s="780" customFormat="1">
      <c r="A593" s="771">
        <v>10.199999999999999</v>
      </c>
      <c r="B593" s="808" t="s">
        <v>772</v>
      </c>
      <c r="C593" s="804" t="s">
        <v>51</v>
      </c>
      <c r="D593" s="801" t="s">
        <v>31</v>
      </c>
      <c r="E593" s="779"/>
      <c r="F593" s="779"/>
      <c r="G593" s="779"/>
      <c r="H593" s="779"/>
      <c r="I593" s="779"/>
      <c r="J593" s="779"/>
      <c r="K593" s="776"/>
      <c r="L593" s="776"/>
      <c r="M593" s="776"/>
      <c r="N593" s="776"/>
      <c r="O593" s="776"/>
      <c r="P593" s="776"/>
      <c r="Q593" s="779"/>
    </row>
    <row r="594" spans="1:17" s="780" customFormat="1">
      <c r="A594" s="811" t="s">
        <v>767</v>
      </c>
      <c r="B594" s="810" t="s">
        <v>768</v>
      </c>
      <c r="C594" s="804" t="s">
        <v>51</v>
      </c>
      <c r="D594" s="801" t="s">
        <v>31</v>
      </c>
      <c r="E594" s="779">
        <f>E590</f>
        <v>1782486.0735000002</v>
      </c>
      <c r="F594" s="779"/>
      <c r="G594" s="779">
        <f t="shared" si="900"/>
        <v>9373.6224769230776</v>
      </c>
      <c r="H594" s="779">
        <f t="shared" si="900"/>
        <v>7632.2919999999995</v>
      </c>
      <c r="I594" s="779">
        <f t="shared" si="900"/>
        <v>8315.1034500000005</v>
      </c>
      <c r="J594" s="779">
        <f t="shared" si="900"/>
        <v>19126.92726</v>
      </c>
      <c r="K594" s="776">
        <f t="shared" si="894"/>
        <v>1826934.0186869232</v>
      </c>
      <c r="L594" s="776">
        <f t="shared" si="895"/>
        <v>274040.10280303849</v>
      </c>
      <c r="M594" s="776">
        <f t="shared" si="896"/>
        <v>2100974.1214899616</v>
      </c>
      <c r="N594" s="776">
        <f t="shared" si="897"/>
        <v>1818618.9152369231</v>
      </c>
      <c r="O594" s="776">
        <f t="shared" si="898"/>
        <v>272792.83728553844</v>
      </c>
      <c r="P594" s="776">
        <f t="shared" si="899"/>
        <v>2091411.7525224616</v>
      </c>
      <c r="Q594" s="779">
        <f>Q590</f>
        <v>50591.43692307693</v>
      </c>
    </row>
    <row r="595" spans="1:17" s="780" customFormat="1">
      <c r="A595" s="811" t="s">
        <v>767</v>
      </c>
      <c r="B595" s="810" t="s">
        <v>769</v>
      </c>
      <c r="C595" s="804" t="s">
        <v>51</v>
      </c>
      <c r="D595" s="801" t="s">
        <v>31</v>
      </c>
      <c r="E595" s="779">
        <f t="shared" ref="E595:E596" si="901">E591</f>
        <v>1773458.5275000003</v>
      </c>
      <c r="F595" s="779"/>
      <c r="G595" s="779">
        <f t="shared" si="900"/>
        <v>9373.6224769230776</v>
      </c>
      <c r="H595" s="779">
        <f t="shared" si="900"/>
        <v>7632.2919999999995</v>
      </c>
      <c r="I595" s="779">
        <f t="shared" si="900"/>
        <v>8315.1034500000005</v>
      </c>
      <c r="J595" s="779">
        <f t="shared" si="900"/>
        <v>19126.92726</v>
      </c>
      <c r="K595" s="776">
        <f t="shared" si="894"/>
        <v>1817906.4726869233</v>
      </c>
      <c r="L595" s="776">
        <f t="shared" si="895"/>
        <v>272685.97090303851</v>
      </c>
      <c r="M595" s="776">
        <f t="shared" si="896"/>
        <v>2090592.4435899619</v>
      </c>
      <c r="N595" s="776">
        <f t="shared" si="897"/>
        <v>1809591.3692369233</v>
      </c>
      <c r="O595" s="776">
        <f t="shared" si="898"/>
        <v>271438.70538553846</v>
      </c>
      <c r="P595" s="776">
        <f t="shared" si="899"/>
        <v>2081030.0746224618</v>
      </c>
      <c r="Q595" s="779">
        <f t="shared" ref="Q595:Q596" si="902">Q591</f>
        <v>50354.200769230767</v>
      </c>
    </row>
    <row r="596" spans="1:17" s="780" customFormat="1">
      <c r="A596" s="811" t="s">
        <v>767</v>
      </c>
      <c r="B596" s="810" t="s">
        <v>770</v>
      </c>
      <c r="C596" s="804" t="s">
        <v>51</v>
      </c>
      <c r="D596" s="801" t="s">
        <v>31</v>
      </c>
      <c r="E596" s="779">
        <f t="shared" si="901"/>
        <v>2291644.7152500004</v>
      </c>
      <c r="F596" s="779"/>
      <c r="G596" s="779">
        <f t="shared" si="900"/>
        <v>12185.709220000001</v>
      </c>
      <c r="H596" s="779">
        <f t="shared" si="900"/>
        <v>7632.2919999999995</v>
      </c>
      <c r="I596" s="779">
        <f t="shared" si="900"/>
        <v>10809.634485</v>
      </c>
      <c r="J596" s="779">
        <f t="shared" si="900"/>
        <v>24865.005438</v>
      </c>
      <c r="K596" s="776">
        <f t="shared" si="894"/>
        <v>2347137.3563930001</v>
      </c>
      <c r="L596" s="776">
        <f t="shared" si="895"/>
        <v>352070.60345895001</v>
      </c>
      <c r="M596" s="776">
        <f t="shared" si="896"/>
        <v>2699207.9598519499</v>
      </c>
      <c r="N596" s="776">
        <f t="shared" si="897"/>
        <v>2336327.7219080003</v>
      </c>
      <c r="O596" s="776">
        <f t="shared" si="898"/>
        <v>350449.15828620002</v>
      </c>
      <c r="P596" s="776">
        <f t="shared" si="899"/>
        <v>2686776.8801942002</v>
      </c>
      <c r="Q596" s="779">
        <f t="shared" si="902"/>
        <v>65043.575384615389</v>
      </c>
    </row>
    <row r="597" spans="1:17" s="780" customFormat="1" ht="14">
      <c r="A597" s="771">
        <v>11</v>
      </c>
      <c r="B597" s="774" t="s">
        <v>261</v>
      </c>
      <c r="C597" s="771" t="s">
        <v>51</v>
      </c>
      <c r="D597" s="771" t="s">
        <v>31</v>
      </c>
      <c r="E597" s="779"/>
      <c r="F597" s="779"/>
      <c r="G597" s="779"/>
      <c r="H597" s="779"/>
      <c r="I597" s="779"/>
      <c r="J597" s="779"/>
      <c r="K597" s="779"/>
      <c r="L597" s="779"/>
      <c r="M597" s="779"/>
      <c r="N597" s="779"/>
      <c r="O597" s="779"/>
      <c r="P597" s="779"/>
      <c r="Q597" s="779"/>
    </row>
    <row r="598" spans="1:17" s="780" customFormat="1">
      <c r="A598" s="771">
        <v>11.1</v>
      </c>
      <c r="B598" s="808" t="s">
        <v>771</v>
      </c>
      <c r="C598" s="804" t="s">
        <v>51</v>
      </c>
      <c r="D598" s="801" t="s">
        <v>31</v>
      </c>
      <c r="E598" s="779"/>
      <c r="F598" s="779"/>
      <c r="G598" s="779"/>
      <c r="H598" s="779"/>
      <c r="I598" s="779"/>
      <c r="J598" s="779"/>
      <c r="K598" s="779"/>
      <c r="L598" s="779"/>
      <c r="M598" s="779"/>
      <c r="N598" s="779"/>
      <c r="O598" s="779"/>
      <c r="P598" s="779"/>
      <c r="Q598" s="779"/>
    </row>
    <row r="599" spans="1:17" s="780" customFormat="1">
      <c r="A599" s="811" t="s">
        <v>767</v>
      </c>
      <c r="B599" s="810" t="s">
        <v>768</v>
      </c>
      <c r="C599" s="804" t="s">
        <v>51</v>
      </c>
      <c r="D599" s="801" t="s">
        <v>31</v>
      </c>
      <c r="E599" s="779">
        <f>NCong!M604</f>
        <v>1779694.1679000002</v>
      </c>
      <c r="F599" s="779"/>
      <c r="G599" s="779">
        <f>G590</f>
        <v>15622.70412820513</v>
      </c>
      <c r="H599" s="779">
        <f t="shared" ref="H599:J599" si="903">H590</f>
        <v>27173.82</v>
      </c>
      <c r="I599" s="779">
        <f t="shared" si="903"/>
        <v>13858.50575</v>
      </c>
      <c r="J599" s="779">
        <f t="shared" si="903"/>
        <v>31878.212100000001</v>
      </c>
      <c r="K599" s="776">
        <f t="shared" ref="K599:K601" si="904">SUM(E599:J599)</f>
        <v>1868227.4098782053</v>
      </c>
      <c r="L599" s="776">
        <f t="shared" ref="L599:L601" si="905">K599*15%</f>
        <v>280234.11148173077</v>
      </c>
      <c r="M599" s="776">
        <f t="shared" ref="M599:M601" si="906">K599+L599</f>
        <v>2148461.5213599359</v>
      </c>
      <c r="N599" s="776">
        <f t="shared" ref="N599:N601" si="907">K599-I599</f>
        <v>1854368.9041282053</v>
      </c>
      <c r="O599" s="776">
        <f t="shared" ref="O599:O601" si="908">$L$6*N599</f>
        <v>278155.33561923075</v>
      </c>
      <c r="P599" s="776">
        <f t="shared" ref="P599:P601" si="909">N599+O599</f>
        <v>2132524.2397474358</v>
      </c>
      <c r="Q599" s="779">
        <f>NCong!P604</f>
        <v>50516.081846153851</v>
      </c>
    </row>
    <row r="600" spans="1:17" s="780" customFormat="1">
      <c r="A600" s="811" t="s">
        <v>767</v>
      </c>
      <c r="B600" s="810" t="s">
        <v>769</v>
      </c>
      <c r="C600" s="804" t="s">
        <v>51</v>
      </c>
      <c r="D600" s="801" t="s">
        <v>31</v>
      </c>
      <c r="E600" s="779">
        <f>NCong!N604</f>
        <v>1771840.4913000003</v>
      </c>
      <c r="F600" s="779"/>
      <c r="G600" s="779">
        <f t="shared" ref="G600:J601" si="910">G591</f>
        <v>15622.70412820513</v>
      </c>
      <c r="H600" s="779">
        <f t="shared" si="910"/>
        <v>27173.82</v>
      </c>
      <c r="I600" s="779">
        <f t="shared" si="910"/>
        <v>13858.50575</v>
      </c>
      <c r="J600" s="779">
        <f t="shared" si="910"/>
        <v>31878.212100000001</v>
      </c>
      <c r="K600" s="776">
        <f t="shared" si="904"/>
        <v>1860373.7332782054</v>
      </c>
      <c r="L600" s="776">
        <f t="shared" si="905"/>
        <v>279056.05999173078</v>
      </c>
      <c r="M600" s="776">
        <f t="shared" si="906"/>
        <v>2139429.793269936</v>
      </c>
      <c r="N600" s="776">
        <f t="shared" si="907"/>
        <v>1846515.2275282054</v>
      </c>
      <c r="O600" s="776">
        <f t="shared" si="908"/>
        <v>276977.28412923077</v>
      </c>
      <c r="P600" s="776">
        <f t="shared" si="909"/>
        <v>2123492.5116574364</v>
      </c>
      <c r="Q600" s="779">
        <f>NCong!Q604</f>
        <v>50310.529076923078</v>
      </c>
    </row>
    <row r="601" spans="1:17" s="780" customFormat="1">
      <c r="A601" s="811" t="s">
        <v>767</v>
      </c>
      <c r="B601" s="810" t="s">
        <v>770</v>
      </c>
      <c r="C601" s="804" t="s">
        <v>51</v>
      </c>
      <c r="D601" s="801" t="s">
        <v>31</v>
      </c>
      <c r="E601" s="779">
        <f>NCong!O604</f>
        <v>2287901.0236500003</v>
      </c>
      <c r="F601" s="779"/>
      <c r="G601" s="779">
        <f t="shared" si="910"/>
        <v>20309.51536666667</v>
      </c>
      <c r="H601" s="779">
        <f t="shared" si="910"/>
        <v>27173.82</v>
      </c>
      <c r="I601" s="779">
        <f t="shared" si="910"/>
        <v>18016.057475000001</v>
      </c>
      <c r="J601" s="779">
        <f t="shared" si="910"/>
        <v>41441.675730000003</v>
      </c>
      <c r="K601" s="776">
        <f t="shared" si="904"/>
        <v>2394842.0922216666</v>
      </c>
      <c r="L601" s="776">
        <f t="shared" si="905"/>
        <v>359226.31383324997</v>
      </c>
      <c r="M601" s="776">
        <f t="shared" si="906"/>
        <v>2754068.4060549168</v>
      </c>
      <c r="N601" s="776">
        <f t="shared" si="907"/>
        <v>2376826.0347466664</v>
      </c>
      <c r="O601" s="776">
        <f t="shared" si="908"/>
        <v>356523.90521199995</v>
      </c>
      <c r="P601" s="776">
        <f t="shared" si="909"/>
        <v>2733349.9399586665</v>
      </c>
      <c r="Q601" s="779">
        <f>NCong!R604</f>
        <v>64942.531076923078</v>
      </c>
    </row>
    <row r="602" spans="1:17" s="780" customFormat="1">
      <c r="A602" s="771">
        <v>11.2</v>
      </c>
      <c r="B602" s="808" t="s">
        <v>772</v>
      </c>
      <c r="C602" s="804" t="s">
        <v>51</v>
      </c>
      <c r="D602" s="801" t="s">
        <v>31</v>
      </c>
      <c r="E602" s="779"/>
      <c r="F602" s="779"/>
      <c r="G602" s="779"/>
      <c r="H602" s="779"/>
      <c r="I602" s="779"/>
      <c r="J602" s="779"/>
      <c r="K602" s="779"/>
      <c r="L602" s="779"/>
      <c r="M602" s="779"/>
      <c r="N602" s="779"/>
      <c r="O602" s="779"/>
      <c r="P602" s="779"/>
      <c r="Q602" s="779"/>
    </row>
    <row r="603" spans="1:17" s="780" customFormat="1">
      <c r="A603" s="811" t="s">
        <v>767</v>
      </c>
      <c r="B603" s="810" t="s">
        <v>768</v>
      </c>
      <c r="C603" s="804" t="s">
        <v>51</v>
      </c>
      <c r="D603" s="801" t="s">
        <v>31</v>
      </c>
      <c r="E603" s="779">
        <f>E599</f>
        <v>1779694.1679000002</v>
      </c>
      <c r="F603" s="779"/>
      <c r="G603" s="779">
        <f t="shared" ref="G603:J605" si="911">G594</f>
        <v>9373.6224769230776</v>
      </c>
      <c r="H603" s="779">
        <f t="shared" si="911"/>
        <v>7632.2919999999995</v>
      </c>
      <c r="I603" s="779">
        <f t="shared" si="911"/>
        <v>8315.1034500000005</v>
      </c>
      <c r="J603" s="779">
        <f t="shared" si="911"/>
        <v>19126.92726</v>
      </c>
      <c r="K603" s="776">
        <f t="shared" ref="K603:K605" si="912">SUM(E603:J603)</f>
        <v>1824142.1130869233</v>
      </c>
      <c r="L603" s="776">
        <f t="shared" ref="L603:L605" si="913">K603*15%</f>
        <v>273621.31696303847</v>
      </c>
      <c r="M603" s="776">
        <f t="shared" ref="M603:M605" si="914">K603+L603</f>
        <v>2097763.4300499619</v>
      </c>
      <c r="N603" s="776">
        <f t="shared" ref="N603:N605" si="915">K603-I603</f>
        <v>1815827.0096369232</v>
      </c>
      <c r="O603" s="776">
        <f t="shared" ref="O603:O605" si="916">$L$6*N603</f>
        <v>272374.05144553847</v>
      </c>
      <c r="P603" s="776">
        <f t="shared" ref="P603:P605" si="917">N603+O603</f>
        <v>2088201.0610824616</v>
      </c>
      <c r="Q603" s="779">
        <f>Q599</f>
        <v>50516.081846153851</v>
      </c>
    </row>
    <row r="604" spans="1:17" s="780" customFormat="1">
      <c r="A604" s="811" t="s">
        <v>767</v>
      </c>
      <c r="B604" s="810" t="s">
        <v>769</v>
      </c>
      <c r="C604" s="804" t="s">
        <v>51</v>
      </c>
      <c r="D604" s="801" t="s">
        <v>31</v>
      </c>
      <c r="E604" s="779">
        <f t="shared" ref="E604:E605" si="918">E600</f>
        <v>1771840.4913000003</v>
      </c>
      <c r="F604" s="779"/>
      <c r="G604" s="779">
        <f t="shared" si="911"/>
        <v>9373.6224769230776</v>
      </c>
      <c r="H604" s="779">
        <f t="shared" si="911"/>
        <v>7632.2919999999995</v>
      </c>
      <c r="I604" s="779">
        <f t="shared" si="911"/>
        <v>8315.1034500000005</v>
      </c>
      <c r="J604" s="779">
        <f t="shared" si="911"/>
        <v>19126.92726</v>
      </c>
      <c r="K604" s="776">
        <f t="shared" si="912"/>
        <v>1816288.4364869234</v>
      </c>
      <c r="L604" s="776">
        <f t="shared" si="913"/>
        <v>272443.26547303848</v>
      </c>
      <c r="M604" s="776">
        <f t="shared" si="914"/>
        <v>2088731.7019599618</v>
      </c>
      <c r="N604" s="776">
        <f t="shared" si="915"/>
        <v>1807973.3330369233</v>
      </c>
      <c r="O604" s="776">
        <f t="shared" si="916"/>
        <v>271195.99995553849</v>
      </c>
      <c r="P604" s="776">
        <f t="shared" si="917"/>
        <v>2079169.3329924617</v>
      </c>
      <c r="Q604" s="779">
        <f t="shared" ref="Q604:Q605" si="919">Q600</f>
        <v>50310.529076923078</v>
      </c>
    </row>
    <row r="605" spans="1:17" s="780" customFormat="1">
      <c r="A605" s="811" t="s">
        <v>767</v>
      </c>
      <c r="B605" s="810" t="s">
        <v>770</v>
      </c>
      <c r="C605" s="804" t="s">
        <v>51</v>
      </c>
      <c r="D605" s="801" t="s">
        <v>31</v>
      </c>
      <c r="E605" s="779">
        <f t="shared" si="918"/>
        <v>2287901.0236500003</v>
      </c>
      <c r="F605" s="779"/>
      <c r="G605" s="779">
        <f t="shared" si="911"/>
        <v>12185.709220000001</v>
      </c>
      <c r="H605" s="779">
        <f t="shared" si="911"/>
        <v>7632.2919999999995</v>
      </c>
      <c r="I605" s="779">
        <f t="shared" si="911"/>
        <v>10809.634485</v>
      </c>
      <c r="J605" s="779">
        <f t="shared" si="911"/>
        <v>24865.005438</v>
      </c>
      <c r="K605" s="776">
        <f t="shared" si="912"/>
        <v>2343393.6647930001</v>
      </c>
      <c r="L605" s="776">
        <f t="shared" si="913"/>
        <v>351509.04971895</v>
      </c>
      <c r="M605" s="776">
        <f t="shared" si="914"/>
        <v>2694902.71451195</v>
      </c>
      <c r="N605" s="776">
        <f t="shared" si="915"/>
        <v>2332584.0303080003</v>
      </c>
      <c r="O605" s="776">
        <f t="shared" si="916"/>
        <v>349887.60454620002</v>
      </c>
      <c r="P605" s="776">
        <f t="shared" si="917"/>
        <v>2682471.6348542003</v>
      </c>
      <c r="Q605" s="779">
        <f t="shared" si="919"/>
        <v>64942.531076923078</v>
      </c>
    </row>
    <row r="606" spans="1:17" s="780" customFormat="1" ht="14">
      <c r="A606" s="771">
        <v>12</v>
      </c>
      <c r="B606" s="774" t="s">
        <v>262</v>
      </c>
      <c r="C606" s="771" t="s">
        <v>51</v>
      </c>
      <c r="D606" s="771" t="s">
        <v>31</v>
      </c>
      <c r="E606" s="779"/>
      <c r="F606" s="779"/>
      <c r="G606" s="779"/>
      <c r="H606" s="779"/>
      <c r="I606" s="779"/>
      <c r="J606" s="779"/>
      <c r="K606" s="779"/>
      <c r="L606" s="779"/>
      <c r="M606" s="779"/>
      <c r="N606" s="779"/>
      <c r="O606" s="779"/>
      <c r="P606" s="779"/>
      <c r="Q606" s="779"/>
    </row>
    <row r="607" spans="1:17" s="780" customFormat="1">
      <c r="A607" s="771">
        <v>12.1</v>
      </c>
      <c r="B607" s="808" t="s">
        <v>771</v>
      </c>
      <c r="C607" s="804" t="s">
        <v>51</v>
      </c>
      <c r="D607" s="801" t="s">
        <v>31</v>
      </c>
      <c r="E607" s="779"/>
      <c r="F607" s="779"/>
      <c r="G607" s="779"/>
      <c r="H607" s="779"/>
      <c r="I607" s="779"/>
      <c r="J607" s="779"/>
      <c r="K607" s="779"/>
      <c r="L607" s="779"/>
      <c r="M607" s="779"/>
      <c r="N607" s="779"/>
      <c r="O607" s="779"/>
      <c r="P607" s="779"/>
      <c r="Q607" s="779"/>
    </row>
    <row r="608" spans="1:17" s="780" customFormat="1">
      <c r="A608" s="811" t="s">
        <v>767</v>
      </c>
      <c r="B608" s="810" t="s">
        <v>768</v>
      </c>
      <c r="C608" s="804" t="s">
        <v>51</v>
      </c>
      <c r="D608" s="801" t="s">
        <v>31</v>
      </c>
      <c r="E608" s="779">
        <f>NCong!M605</f>
        <v>1779694.1679000002</v>
      </c>
      <c r="F608" s="779"/>
      <c r="G608" s="779">
        <f>G599</f>
        <v>15622.70412820513</v>
      </c>
      <c r="H608" s="779">
        <f t="shared" ref="H608:J608" si="920">H599</f>
        <v>27173.82</v>
      </c>
      <c r="I608" s="779">
        <f t="shared" si="920"/>
        <v>13858.50575</v>
      </c>
      <c r="J608" s="779">
        <f t="shared" si="920"/>
        <v>31878.212100000001</v>
      </c>
      <c r="K608" s="776">
        <f t="shared" ref="K608:K610" si="921">SUM(E608:J608)</f>
        <v>1868227.4098782053</v>
      </c>
      <c r="L608" s="776">
        <f t="shared" ref="L608:L610" si="922">K608*15%</f>
        <v>280234.11148173077</v>
      </c>
      <c r="M608" s="776">
        <f t="shared" ref="M608:M610" si="923">K608+L608</f>
        <v>2148461.5213599359</v>
      </c>
      <c r="N608" s="776">
        <f t="shared" ref="N608:N610" si="924">K608-I608</f>
        <v>1854368.9041282053</v>
      </c>
      <c r="O608" s="776">
        <f t="shared" ref="O608:O610" si="925">$L$6*N608</f>
        <v>278155.33561923075</v>
      </c>
      <c r="P608" s="776">
        <f t="shared" ref="P608:P610" si="926">N608+O608</f>
        <v>2132524.2397474358</v>
      </c>
      <c r="Q608" s="779">
        <f>NCong!P605</f>
        <v>50516.081846153851</v>
      </c>
    </row>
    <row r="609" spans="1:17" s="780" customFormat="1">
      <c r="A609" s="811" t="s">
        <v>767</v>
      </c>
      <c r="B609" s="810" t="s">
        <v>769</v>
      </c>
      <c r="C609" s="804" t="s">
        <v>51</v>
      </c>
      <c r="D609" s="801" t="s">
        <v>31</v>
      </c>
      <c r="E609" s="779">
        <f>NCong!N605</f>
        <v>1771840.4913000003</v>
      </c>
      <c r="F609" s="779"/>
      <c r="G609" s="779">
        <f t="shared" ref="G609:J610" si="927">G600</f>
        <v>15622.70412820513</v>
      </c>
      <c r="H609" s="779">
        <f t="shared" si="927"/>
        <v>27173.82</v>
      </c>
      <c r="I609" s="779">
        <f t="shared" si="927"/>
        <v>13858.50575</v>
      </c>
      <c r="J609" s="779">
        <f t="shared" si="927"/>
        <v>31878.212100000001</v>
      </c>
      <c r="K609" s="776">
        <f t="shared" si="921"/>
        <v>1860373.7332782054</v>
      </c>
      <c r="L609" s="776">
        <f t="shared" si="922"/>
        <v>279056.05999173078</v>
      </c>
      <c r="M609" s="776">
        <f t="shared" si="923"/>
        <v>2139429.793269936</v>
      </c>
      <c r="N609" s="776">
        <f t="shared" si="924"/>
        <v>1846515.2275282054</v>
      </c>
      <c r="O609" s="776">
        <f t="shared" si="925"/>
        <v>276977.28412923077</v>
      </c>
      <c r="P609" s="776">
        <f t="shared" si="926"/>
        <v>2123492.5116574364</v>
      </c>
      <c r="Q609" s="779">
        <f>NCong!Q605</f>
        <v>50310.529076923078</v>
      </c>
    </row>
    <row r="610" spans="1:17" s="780" customFormat="1">
      <c r="A610" s="811" t="s">
        <v>767</v>
      </c>
      <c r="B610" s="810" t="s">
        <v>770</v>
      </c>
      <c r="C610" s="804" t="s">
        <v>51</v>
      </c>
      <c r="D610" s="801" t="s">
        <v>31</v>
      </c>
      <c r="E610" s="779">
        <f>NCong!O605</f>
        <v>2287901.0236500003</v>
      </c>
      <c r="F610" s="779"/>
      <c r="G610" s="779">
        <f t="shared" si="927"/>
        <v>20309.51536666667</v>
      </c>
      <c r="H610" s="779">
        <f t="shared" si="927"/>
        <v>27173.82</v>
      </c>
      <c r="I610" s="779">
        <f t="shared" si="927"/>
        <v>18016.057475000001</v>
      </c>
      <c r="J610" s="779">
        <f t="shared" si="927"/>
        <v>41441.675730000003</v>
      </c>
      <c r="K610" s="776">
        <f t="shared" si="921"/>
        <v>2394842.0922216666</v>
      </c>
      <c r="L610" s="776">
        <f t="shared" si="922"/>
        <v>359226.31383324997</v>
      </c>
      <c r="M610" s="776">
        <f t="shared" si="923"/>
        <v>2754068.4060549168</v>
      </c>
      <c r="N610" s="776">
        <f t="shared" si="924"/>
        <v>2376826.0347466664</v>
      </c>
      <c r="O610" s="776">
        <f t="shared" si="925"/>
        <v>356523.90521199995</v>
      </c>
      <c r="P610" s="776">
        <f t="shared" si="926"/>
        <v>2733349.9399586665</v>
      </c>
      <c r="Q610" s="779">
        <f>NCong!R605</f>
        <v>64942.531076923078</v>
      </c>
    </row>
    <row r="611" spans="1:17" s="780" customFormat="1">
      <c r="A611" s="771">
        <v>12.2</v>
      </c>
      <c r="B611" s="808" t="s">
        <v>772</v>
      </c>
      <c r="C611" s="804" t="s">
        <v>51</v>
      </c>
      <c r="D611" s="801" t="s">
        <v>31</v>
      </c>
      <c r="E611" s="779"/>
      <c r="F611" s="779"/>
      <c r="G611" s="779"/>
      <c r="H611" s="779"/>
      <c r="I611" s="779"/>
      <c r="J611" s="779"/>
      <c r="K611" s="779"/>
      <c r="L611" s="779"/>
      <c r="M611" s="779"/>
      <c r="N611" s="779"/>
      <c r="O611" s="779"/>
      <c r="P611" s="779"/>
      <c r="Q611" s="779"/>
    </row>
    <row r="612" spans="1:17" s="780" customFormat="1">
      <c r="A612" s="811" t="s">
        <v>767</v>
      </c>
      <c r="B612" s="810" t="s">
        <v>768</v>
      </c>
      <c r="C612" s="804" t="s">
        <v>51</v>
      </c>
      <c r="D612" s="801" t="s">
        <v>31</v>
      </c>
      <c r="E612" s="779">
        <f>E608</f>
        <v>1779694.1679000002</v>
      </c>
      <c r="F612" s="779"/>
      <c r="G612" s="779">
        <f t="shared" ref="G612:J614" si="928">G603</f>
        <v>9373.6224769230776</v>
      </c>
      <c r="H612" s="779">
        <f t="shared" si="928"/>
        <v>7632.2919999999995</v>
      </c>
      <c r="I612" s="779">
        <f t="shared" si="928"/>
        <v>8315.1034500000005</v>
      </c>
      <c r="J612" s="779">
        <f t="shared" si="928"/>
        <v>19126.92726</v>
      </c>
      <c r="K612" s="776">
        <f t="shared" ref="K612:K614" si="929">SUM(E612:J612)</f>
        <v>1824142.1130869233</v>
      </c>
      <c r="L612" s="776">
        <f t="shared" ref="L612:L614" si="930">K612*15%</f>
        <v>273621.31696303847</v>
      </c>
      <c r="M612" s="776">
        <f t="shared" ref="M612:M614" si="931">K612+L612</f>
        <v>2097763.4300499619</v>
      </c>
      <c r="N612" s="776">
        <f t="shared" ref="N612:N614" si="932">K612-I612</f>
        <v>1815827.0096369232</v>
      </c>
      <c r="O612" s="776">
        <f t="shared" ref="O612:O614" si="933">$L$6*N612</f>
        <v>272374.05144553847</v>
      </c>
      <c r="P612" s="776">
        <f t="shared" ref="P612:P614" si="934">N612+O612</f>
        <v>2088201.0610824616</v>
      </c>
      <c r="Q612" s="779">
        <f>Q608</f>
        <v>50516.081846153851</v>
      </c>
    </row>
    <row r="613" spans="1:17" s="780" customFormat="1">
      <c r="A613" s="811" t="s">
        <v>767</v>
      </c>
      <c r="B613" s="810" t="s">
        <v>769</v>
      </c>
      <c r="C613" s="804" t="s">
        <v>51</v>
      </c>
      <c r="D613" s="801" t="s">
        <v>31</v>
      </c>
      <c r="E613" s="779">
        <f t="shared" ref="E613:E614" si="935">E609</f>
        <v>1771840.4913000003</v>
      </c>
      <c r="F613" s="779"/>
      <c r="G613" s="779">
        <f t="shared" si="928"/>
        <v>9373.6224769230776</v>
      </c>
      <c r="H613" s="779">
        <f t="shared" si="928"/>
        <v>7632.2919999999995</v>
      </c>
      <c r="I613" s="779">
        <f t="shared" si="928"/>
        <v>8315.1034500000005</v>
      </c>
      <c r="J613" s="779">
        <f t="shared" si="928"/>
        <v>19126.92726</v>
      </c>
      <c r="K613" s="776">
        <f t="shared" si="929"/>
        <v>1816288.4364869234</v>
      </c>
      <c r="L613" s="776">
        <f t="shared" si="930"/>
        <v>272443.26547303848</v>
      </c>
      <c r="M613" s="776">
        <f t="shared" si="931"/>
        <v>2088731.7019599618</v>
      </c>
      <c r="N613" s="776">
        <f t="shared" si="932"/>
        <v>1807973.3330369233</v>
      </c>
      <c r="O613" s="776">
        <f t="shared" si="933"/>
        <v>271195.99995553849</v>
      </c>
      <c r="P613" s="776">
        <f t="shared" si="934"/>
        <v>2079169.3329924617</v>
      </c>
      <c r="Q613" s="779">
        <f t="shared" ref="Q613:Q614" si="936">Q609</f>
        <v>50310.529076923078</v>
      </c>
    </row>
    <row r="614" spans="1:17" s="780" customFormat="1">
      <c r="A614" s="811" t="s">
        <v>767</v>
      </c>
      <c r="B614" s="810" t="s">
        <v>770</v>
      </c>
      <c r="C614" s="804" t="s">
        <v>51</v>
      </c>
      <c r="D614" s="801" t="s">
        <v>31</v>
      </c>
      <c r="E614" s="779">
        <f t="shared" si="935"/>
        <v>2287901.0236500003</v>
      </c>
      <c r="F614" s="779"/>
      <c r="G614" s="779">
        <f t="shared" si="928"/>
        <v>12185.709220000001</v>
      </c>
      <c r="H614" s="779">
        <f t="shared" si="928"/>
        <v>7632.2919999999995</v>
      </c>
      <c r="I614" s="779">
        <f t="shared" si="928"/>
        <v>10809.634485</v>
      </c>
      <c r="J614" s="779">
        <f t="shared" si="928"/>
        <v>24865.005438</v>
      </c>
      <c r="K614" s="776">
        <f t="shared" si="929"/>
        <v>2343393.6647930001</v>
      </c>
      <c r="L614" s="776">
        <f t="shared" si="930"/>
        <v>351509.04971895</v>
      </c>
      <c r="M614" s="776">
        <f t="shared" si="931"/>
        <v>2694902.71451195</v>
      </c>
      <c r="N614" s="776">
        <f t="shared" si="932"/>
        <v>2332584.0303080003</v>
      </c>
      <c r="O614" s="776">
        <f t="shared" si="933"/>
        <v>349887.60454620002</v>
      </c>
      <c r="P614" s="776">
        <f t="shared" si="934"/>
        <v>2682471.6348542003</v>
      </c>
      <c r="Q614" s="779">
        <f t="shared" si="936"/>
        <v>64942.531076923078</v>
      </c>
    </row>
    <row r="615" spans="1:17" s="780" customFormat="1" ht="14">
      <c r="A615" s="771">
        <v>13</v>
      </c>
      <c r="B615" s="774" t="s">
        <v>263</v>
      </c>
      <c r="C615" s="771" t="s">
        <v>51</v>
      </c>
      <c r="D615" s="771" t="s">
        <v>31</v>
      </c>
      <c r="E615" s="779"/>
      <c r="F615" s="779"/>
      <c r="G615" s="779"/>
      <c r="H615" s="779"/>
      <c r="I615" s="779"/>
      <c r="J615" s="779"/>
      <c r="K615" s="779"/>
      <c r="L615" s="779"/>
      <c r="M615" s="779"/>
      <c r="N615" s="779"/>
      <c r="O615" s="779"/>
      <c r="P615" s="779"/>
      <c r="Q615" s="779"/>
    </row>
    <row r="616" spans="1:17" s="780" customFormat="1">
      <c r="A616" s="771">
        <v>13.1</v>
      </c>
      <c r="B616" s="808" t="s">
        <v>771</v>
      </c>
      <c r="C616" s="804" t="s">
        <v>51</v>
      </c>
      <c r="D616" s="801" t="s">
        <v>31</v>
      </c>
      <c r="E616" s="779"/>
      <c r="F616" s="779"/>
      <c r="G616" s="779"/>
      <c r="H616" s="779"/>
      <c r="I616" s="779"/>
      <c r="J616" s="779"/>
      <c r="K616" s="779"/>
      <c r="L616" s="779"/>
      <c r="M616" s="779"/>
      <c r="N616" s="779"/>
      <c r="O616" s="779"/>
      <c r="P616" s="779"/>
      <c r="Q616" s="779"/>
    </row>
    <row r="617" spans="1:17" s="780" customFormat="1">
      <c r="A617" s="811" t="s">
        <v>767</v>
      </c>
      <c r="B617" s="810" t="s">
        <v>768</v>
      </c>
      <c r="C617" s="804" t="s">
        <v>51</v>
      </c>
      <c r="D617" s="801" t="s">
        <v>31</v>
      </c>
      <c r="E617" s="779">
        <f>NCong!M606</f>
        <v>1779694.1679000002</v>
      </c>
      <c r="F617" s="779"/>
      <c r="G617" s="779">
        <f>G608</f>
        <v>15622.70412820513</v>
      </c>
      <c r="H617" s="779">
        <f t="shared" ref="H617:J617" si="937">H608</f>
        <v>27173.82</v>
      </c>
      <c r="I617" s="779">
        <f t="shared" si="937"/>
        <v>13858.50575</v>
      </c>
      <c r="J617" s="779">
        <f t="shared" si="937"/>
        <v>31878.212100000001</v>
      </c>
      <c r="K617" s="776">
        <f t="shared" ref="K617:K619" si="938">SUM(E617:J617)</f>
        <v>1868227.4098782053</v>
      </c>
      <c r="L617" s="776">
        <f t="shared" ref="L617:L619" si="939">K617*15%</f>
        <v>280234.11148173077</v>
      </c>
      <c r="M617" s="776">
        <f t="shared" ref="M617:M619" si="940">K617+L617</f>
        <v>2148461.5213599359</v>
      </c>
      <c r="N617" s="776">
        <f t="shared" ref="N617:N619" si="941">K617-I617</f>
        <v>1854368.9041282053</v>
      </c>
      <c r="O617" s="776">
        <f t="shared" ref="O617:O619" si="942">$L$6*N617</f>
        <v>278155.33561923075</v>
      </c>
      <c r="P617" s="776">
        <f t="shared" ref="P617:P619" si="943">N617+O617</f>
        <v>2132524.2397474358</v>
      </c>
      <c r="Q617" s="779">
        <f>NCong!P606</f>
        <v>50516.081846153851</v>
      </c>
    </row>
    <row r="618" spans="1:17" s="780" customFormat="1">
      <c r="A618" s="811" t="s">
        <v>767</v>
      </c>
      <c r="B618" s="810" t="s">
        <v>769</v>
      </c>
      <c r="C618" s="804" t="s">
        <v>51</v>
      </c>
      <c r="D618" s="801" t="s">
        <v>31</v>
      </c>
      <c r="E618" s="779">
        <f>NCong!N606</f>
        <v>1771840.4913000003</v>
      </c>
      <c r="F618" s="779"/>
      <c r="G618" s="779">
        <f t="shared" ref="G618:J619" si="944">G609</f>
        <v>15622.70412820513</v>
      </c>
      <c r="H618" s="779">
        <f t="shared" si="944"/>
        <v>27173.82</v>
      </c>
      <c r="I618" s="779">
        <f t="shared" si="944"/>
        <v>13858.50575</v>
      </c>
      <c r="J618" s="779">
        <f t="shared" si="944"/>
        <v>31878.212100000001</v>
      </c>
      <c r="K618" s="776">
        <f t="shared" si="938"/>
        <v>1860373.7332782054</v>
      </c>
      <c r="L618" s="776">
        <f t="shared" si="939"/>
        <v>279056.05999173078</v>
      </c>
      <c r="M618" s="776">
        <f t="shared" si="940"/>
        <v>2139429.793269936</v>
      </c>
      <c r="N618" s="776">
        <f t="shared" si="941"/>
        <v>1846515.2275282054</v>
      </c>
      <c r="O618" s="776">
        <f t="shared" si="942"/>
        <v>276977.28412923077</v>
      </c>
      <c r="P618" s="776">
        <f t="shared" si="943"/>
        <v>2123492.5116574364</v>
      </c>
      <c r="Q618" s="779">
        <f>NCong!Q606</f>
        <v>50310.529076923078</v>
      </c>
    </row>
    <row r="619" spans="1:17" s="780" customFormat="1">
      <c r="A619" s="811" t="s">
        <v>767</v>
      </c>
      <c r="B619" s="810" t="s">
        <v>770</v>
      </c>
      <c r="C619" s="804" t="s">
        <v>51</v>
      </c>
      <c r="D619" s="801" t="s">
        <v>31</v>
      </c>
      <c r="E619" s="779">
        <f>NCong!O606</f>
        <v>2287901.0236500003</v>
      </c>
      <c r="F619" s="779"/>
      <c r="G619" s="779">
        <f t="shared" si="944"/>
        <v>20309.51536666667</v>
      </c>
      <c r="H619" s="779">
        <f t="shared" si="944"/>
        <v>27173.82</v>
      </c>
      <c r="I619" s="779">
        <f t="shared" si="944"/>
        <v>18016.057475000001</v>
      </c>
      <c r="J619" s="779">
        <f t="shared" si="944"/>
        <v>41441.675730000003</v>
      </c>
      <c r="K619" s="776">
        <f t="shared" si="938"/>
        <v>2394842.0922216666</v>
      </c>
      <c r="L619" s="776">
        <f t="shared" si="939"/>
        <v>359226.31383324997</v>
      </c>
      <c r="M619" s="776">
        <f t="shared" si="940"/>
        <v>2754068.4060549168</v>
      </c>
      <c r="N619" s="776">
        <f t="shared" si="941"/>
        <v>2376826.0347466664</v>
      </c>
      <c r="O619" s="776">
        <f t="shared" si="942"/>
        <v>356523.90521199995</v>
      </c>
      <c r="P619" s="776">
        <f t="shared" si="943"/>
        <v>2733349.9399586665</v>
      </c>
      <c r="Q619" s="779">
        <f>NCong!R606</f>
        <v>64942.531076923078</v>
      </c>
    </row>
    <row r="620" spans="1:17" s="780" customFormat="1">
      <c r="A620" s="771">
        <v>13.2</v>
      </c>
      <c r="B620" s="808" t="s">
        <v>772</v>
      </c>
      <c r="C620" s="804" t="s">
        <v>51</v>
      </c>
      <c r="D620" s="801" t="s">
        <v>31</v>
      </c>
      <c r="E620" s="779"/>
      <c r="F620" s="779"/>
      <c r="G620" s="779"/>
      <c r="H620" s="779"/>
      <c r="I620" s="779"/>
      <c r="J620" s="779"/>
      <c r="K620" s="779"/>
      <c r="L620" s="779"/>
      <c r="M620" s="779"/>
      <c r="N620" s="779"/>
      <c r="O620" s="779"/>
      <c r="P620" s="779"/>
      <c r="Q620" s="779"/>
    </row>
    <row r="621" spans="1:17" s="780" customFormat="1">
      <c r="A621" s="811" t="s">
        <v>767</v>
      </c>
      <c r="B621" s="810" t="s">
        <v>768</v>
      </c>
      <c r="C621" s="804" t="s">
        <v>51</v>
      </c>
      <c r="D621" s="801" t="s">
        <v>31</v>
      </c>
      <c r="E621" s="779">
        <f>E617</f>
        <v>1779694.1679000002</v>
      </c>
      <c r="F621" s="779"/>
      <c r="G621" s="779">
        <f t="shared" ref="G621:J623" si="945">G612</f>
        <v>9373.6224769230776</v>
      </c>
      <c r="H621" s="779">
        <f t="shared" si="945"/>
        <v>7632.2919999999995</v>
      </c>
      <c r="I621" s="779">
        <f t="shared" si="945"/>
        <v>8315.1034500000005</v>
      </c>
      <c r="J621" s="779">
        <f t="shared" si="945"/>
        <v>19126.92726</v>
      </c>
      <c r="K621" s="776">
        <f t="shared" ref="K621:K623" si="946">SUM(E621:J621)</f>
        <v>1824142.1130869233</v>
      </c>
      <c r="L621" s="776">
        <f t="shared" ref="L621:L623" si="947">K621*15%</f>
        <v>273621.31696303847</v>
      </c>
      <c r="M621" s="776">
        <f t="shared" ref="M621:M623" si="948">K621+L621</f>
        <v>2097763.4300499619</v>
      </c>
      <c r="N621" s="776">
        <f t="shared" ref="N621:N623" si="949">K621-I621</f>
        <v>1815827.0096369232</v>
      </c>
      <c r="O621" s="776">
        <f t="shared" ref="O621:O623" si="950">$L$6*N621</f>
        <v>272374.05144553847</v>
      </c>
      <c r="P621" s="776">
        <f t="shared" ref="P621:P623" si="951">N621+O621</f>
        <v>2088201.0610824616</v>
      </c>
      <c r="Q621" s="779">
        <f>Q617</f>
        <v>50516.081846153851</v>
      </c>
    </row>
    <row r="622" spans="1:17" s="780" customFormat="1">
      <c r="A622" s="811" t="s">
        <v>767</v>
      </c>
      <c r="B622" s="810" t="s">
        <v>769</v>
      </c>
      <c r="C622" s="804" t="s">
        <v>51</v>
      </c>
      <c r="D622" s="801" t="s">
        <v>31</v>
      </c>
      <c r="E622" s="779">
        <f t="shared" ref="E622:E623" si="952">E618</f>
        <v>1771840.4913000003</v>
      </c>
      <c r="F622" s="779"/>
      <c r="G622" s="779">
        <f t="shared" si="945"/>
        <v>9373.6224769230776</v>
      </c>
      <c r="H622" s="779">
        <f t="shared" si="945"/>
        <v>7632.2919999999995</v>
      </c>
      <c r="I622" s="779">
        <f t="shared" si="945"/>
        <v>8315.1034500000005</v>
      </c>
      <c r="J622" s="779">
        <f t="shared" si="945"/>
        <v>19126.92726</v>
      </c>
      <c r="K622" s="776">
        <f t="shared" si="946"/>
        <v>1816288.4364869234</v>
      </c>
      <c r="L622" s="776">
        <f t="shared" si="947"/>
        <v>272443.26547303848</v>
      </c>
      <c r="M622" s="776">
        <f t="shared" si="948"/>
        <v>2088731.7019599618</v>
      </c>
      <c r="N622" s="776">
        <f t="shared" si="949"/>
        <v>1807973.3330369233</v>
      </c>
      <c r="O622" s="776">
        <f t="shared" si="950"/>
        <v>271195.99995553849</v>
      </c>
      <c r="P622" s="776">
        <f t="shared" si="951"/>
        <v>2079169.3329924617</v>
      </c>
      <c r="Q622" s="779">
        <f t="shared" ref="Q622:Q623" si="953">Q618</f>
        <v>50310.529076923078</v>
      </c>
    </row>
    <row r="623" spans="1:17" s="780" customFormat="1">
      <c r="A623" s="811" t="s">
        <v>767</v>
      </c>
      <c r="B623" s="810" t="s">
        <v>770</v>
      </c>
      <c r="C623" s="804" t="s">
        <v>51</v>
      </c>
      <c r="D623" s="801" t="s">
        <v>31</v>
      </c>
      <c r="E623" s="779">
        <f t="shared" si="952"/>
        <v>2287901.0236500003</v>
      </c>
      <c r="F623" s="779"/>
      <c r="G623" s="779">
        <f t="shared" si="945"/>
        <v>12185.709220000001</v>
      </c>
      <c r="H623" s="779">
        <f t="shared" si="945"/>
        <v>7632.2919999999995</v>
      </c>
      <c r="I623" s="779">
        <f t="shared" si="945"/>
        <v>10809.634485</v>
      </c>
      <c r="J623" s="779">
        <f t="shared" si="945"/>
        <v>24865.005438</v>
      </c>
      <c r="K623" s="776">
        <f t="shared" si="946"/>
        <v>2343393.6647930001</v>
      </c>
      <c r="L623" s="776">
        <f t="shared" si="947"/>
        <v>351509.04971895</v>
      </c>
      <c r="M623" s="776">
        <f t="shared" si="948"/>
        <v>2694902.71451195</v>
      </c>
      <c r="N623" s="776">
        <f t="shared" si="949"/>
        <v>2332584.0303080003</v>
      </c>
      <c r="O623" s="776">
        <f t="shared" si="950"/>
        <v>349887.60454620002</v>
      </c>
      <c r="P623" s="776">
        <f t="shared" si="951"/>
        <v>2682471.6348542003</v>
      </c>
      <c r="Q623" s="779">
        <f t="shared" si="953"/>
        <v>64942.531076923078</v>
      </c>
    </row>
    <row r="624" spans="1:17" s="780" customFormat="1">
      <c r="A624" s="771">
        <v>14</v>
      </c>
      <c r="B624" s="774" t="s">
        <v>265</v>
      </c>
      <c r="C624" s="771" t="s">
        <v>51</v>
      </c>
      <c r="D624" s="771" t="s">
        <v>31</v>
      </c>
      <c r="E624" s="779"/>
      <c r="F624" s="779"/>
      <c r="G624" s="779"/>
      <c r="H624" s="779"/>
      <c r="I624" s="779"/>
      <c r="J624" s="779"/>
      <c r="K624" s="779"/>
      <c r="L624" s="779"/>
      <c r="M624" s="779"/>
      <c r="N624" s="779"/>
      <c r="O624" s="779"/>
      <c r="P624" s="779"/>
      <c r="Q624" s="779"/>
    </row>
    <row r="625" spans="1:17" s="780" customFormat="1">
      <c r="A625" s="771">
        <v>14.1</v>
      </c>
      <c r="B625" s="808" t="s">
        <v>771</v>
      </c>
      <c r="C625" s="804" t="s">
        <v>51</v>
      </c>
      <c r="D625" s="801" t="s">
        <v>31</v>
      </c>
      <c r="E625" s="779"/>
      <c r="F625" s="779"/>
      <c r="G625" s="779"/>
      <c r="H625" s="779"/>
      <c r="I625" s="779"/>
      <c r="J625" s="779"/>
      <c r="K625" s="779"/>
      <c r="L625" s="779"/>
      <c r="M625" s="779"/>
      <c r="N625" s="779"/>
      <c r="O625" s="779"/>
      <c r="P625" s="779"/>
      <c r="Q625" s="779"/>
    </row>
    <row r="626" spans="1:17" s="780" customFormat="1">
      <c r="A626" s="811" t="s">
        <v>767</v>
      </c>
      <c r="B626" s="810" t="s">
        <v>768</v>
      </c>
      <c r="C626" s="804" t="s">
        <v>51</v>
      </c>
      <c r="D626" s="801" t="s">
        <v>31</v>
      </c>
      <c r="E626" s="779">
        <f>NCong!M607</f>
        <v>1779694.1679000002</v>
      </c>
      <c r="F626" s="779"/>
      <c r="G626" s="779">
        <f>G617</f>
        <v>15622.70412820513</v>
      </c>
      <c r="H626" s="779">
        <f t="shared" ref="H626:J626" si="954">H617</f>
        <v>27173.82</v>
      </c>
      <c r="I626" s="779">
        <f t="shared" si="954"/>
        <v>13858.50575</v>
      </c>
      <c r="J626" s="779">
        <f t="shared" si="954"/>
        <v>31878.212100000001</v>
      </c>
      <c r="K626" s="776">
        <f t="shared" ref="K626:K628" si="955">SUM(E626:J626)</f>
        <v>1868227.4098782053</v>
      </c>
      <c r="L626" s="776">
        <f t="shared" ref="L626:L628" si="956">K626*15%</f>
        <v>280234.11148173077</v>
      </c>
      <c r="M626" s="776">
        <f t="shared" ref="M626:M628" si="957">K626+L626</f>
        <v>2148461.5213599359</v>
      </c>
      <c r="N626" s="776">
        <f t="shared" ref="N626:N628" si="958">K626-I626</f>
        <v>1854368.9041282053</v>
      </c>
      <c r="O626" s="776">
        <f t="shared" ref="O626:O628" si="959">$L$6*N626</f>
        <v>278155.33561923075</v>
      </c>
      <c r="P626" s="776">
        <f t="shared" ref="P626:P628" si="960">N626+O626</f>
        <v>2132524.2397474358</v>
      </c>
      <c r="Q626" s="779">
        <f>NCong!P607</f>
        <v>50516.081846153851</v>
      </c>
    </row>
    <row r="627" spans="1:17" s="780" customFormat="1">
      <c r="A627" s="811" t="s">
        <v>767</v>
      </c>
      <c r="B627" s="810" t="s">
        <v>769</v>
      </c>
      <c r="C627" s="804" t="s">
        <v>51</v>
      </c>
      <c r="D627" s="801" t="s">
        <v>31</v>
      </c>
      <c r="E627" s="779">
        <f>NCong!N607</f>
        <v>1771840.4913000003</v>
      </c>
      <c r="F627" s="779"/>
      <c r="G627" s="779">
        <f t="shared" ref="G627:J628" si="961">G618</f>
        <v>15622.70412820513</v>
      </c>
      <c r="H627" s="779">
        <f t="shared" si="961"/>
        <v>27173.82</v>
      </c>
      <c r="I627" s="779">
        <f t="shared" si="961"/>
        <v>13858.50575</v>
      </c>
      <c r="J627" s="779">
        <f t="shared" si="961"/>
        <v>31878.212100000001</v>
      </c>
      <c r="K627" s="776">
        <f t="shared" si="955"/>
        <v>1860373.7332782054</v>
      </c>
      <c r="L627" s="776">
        <f t="shared" si="956"/>
        <v>279056.05999173078</v>
      </c>
      <c r="M627" s="776">
        <f t="shared" si="957"/>
        <v>2139429.793269936</v>
      </c>
      <c r="N627" s="776">
        <f t="shared" si="958"/>
        <v>1846515.2275282054</v>
      </c>
      <c r="O627" s="776">
        <f t="shared" si="959"/>
        <v>276977.28412923077</v>
      </c>
      <c r="P627" s="776">
        <f t="shared" si="960"/>
        <v>2123492.5116574364</v>
      </c>
      <c r="Q627" s="779">
        <f>NCong!Q607</f>
        <v>50310.529076923078</v>
      </c>
    </row>
    <row r="628" spans="1:17" s="780" customFormat="1">
      <c r="A628" s="811" t="s">
        <v>767</v>
      </c>
      <c r="B628" s="810" t="s">
        <v>770</v>
      </c>
      <c r="C628" s="804" t="s">
        <v>51</v>
      </c>
      <c r="D628" s="801" t="s">
        <v>31</v>
      </c>
      <c r="E628" s="779">
        <f>NCong!O607</f>
        <v>2287901.0236500003</v>
      </c>
      <c r="F628" s="779"/>
      <c r="G628" s="779">
        <f t="shared" si="961"/>
        <v>20309.51536666667</v>
      </c>
      <c r="H628" s="779">
        <f t="shared" si="961"/>
        <v>27173.82</v>
      </c>
      <c r="I628" s="779">
        <f t="shared" si="961"/>
        <v>18016.057475000001</v>
      </c>
      <c r="J628" s="779">
        <f t="shared" si="961"/>
        <v>41441.675730000003</v>
      </c>
      <c r="K628" s="776">
        <f t="shared" si="955"/>
        <v>2394842.0922216666</v>
      </c>
      <c r="L628" s="776">
        <f t="shared" si="956"/>
        <v>359226.31383324997</v>
      </c>
      <c r="M628" s="776">
        <f t="shared" si="957"/>
        <v>2754068.4060549168</v>
      </c>
      <c r="N628" s="776">
        <f t="shared" si="958"/>
        <v>2376826.0347466664</v>
      </c>
      <c r="O628" s="776">
        <f t="shared" si="959"/>
        <v>356523.90521199995</v>
      </c>
      <c r="P628" s="776">
        <f t="shared" si="960"/>
        <v>2733349.9399586665</v>
      </c>
      <c r="Q628" s="779">
        <f>NCong!R607</f>
        <v>64942.531076923078</v>
      </c>
    </row>
    <row r="629" spans="1:17" s="780" customFormat="1">
      <c r="A629" s="771">
        <v>14.2</v>
      </c>
      <c r="B629" s="808" t="s">
        <v>772</v>
      </c>
      <c r="C629" s="804" t="s">
        <v>51</v>
      </c>
      <c r="D629" s="801" t="s">
        <v>31</v>
      </c>
      <c r="E629" s="779"/>
      <c r="F629" s="779"/>
      <c r="G629" s="779"/>
      <c r="H629" s="779"/>
      <c r="I629" s="779"/>
      <c r="J629" s="779"/>
      <c r="K629" s="779"/>
      <c r="L629" s="779"/>
      <c r="M629" s="779"/>
      <c r="N629" s="779"/>
      <c r="O629" s="779"/>
      <c r="P629" s="779"/>
      <c r="Q629" s="779"/>
    </row>
    <row r="630" spans="1:17" s="780" customFormat="1">
      <c r="A630" s="811" t="s">
        <v>767</v>
      </c>
      <c r="B630" s="810" t="s">
        <v>768</v>
      </c>
      <c r="C630" s="804" t="s">
        <v>51</v>
      </c>
      <c r="D630" s="801" t="s">
        <v>31</v>
      </c>
      <c r="E630" s="779">
        <f>E626</f>
        <v>1779694.1679000002</v>
      </c>
      <c r="F630" s="779"/>
      <c r="G630" s="779">
        <f t="shared" ref="G630:J632" si="962">G621</f>
        <v>9373.6224769230776</v>
      </c>
      <c r="H630" s="779">
        <f t="shared" si="962"/>
        <v>7632.2919999999995</v>
      </c>
      <c r="I630" s="779">
        <f t="shared" si="962"/>
        <v>8315.1034500000005</v>
      </c>
      <c r="J630" s="779">
        <f t="shared" si="962"/>
        <v>19126.92726</v>
      </c>
      <c r="K630" s="776">
        <f t="shared" ref="K630:K632" si="963">SUM(E630:J630)</f>
        <v>1824142.1130869233</v>
      </c>
      <c r="L630" s="776">
        <f t="shared" ref="L630:L632" si="964">K630*15%</f>
        <v>273621.31696303847</v>
      </c>
      <c r="M630" s="776">
        <f t="shared" ref="M630:M632" si="965">K630+L630</f>
        <v>2097763.4300499619</v>
      </c>
      <c r="N630" s="776">
        <f t="shared" ref="N630:N632" si="966">K630-I630</f>
        <v>1815827.0096369232</v>
      </c>
      <c r="O630" s="776">
        <f t="shared" ref="O630:O632" si="967">$L$6*N630</f>
        <v>272374.05144553847</v>
      </c>
      <c r="P630" s="776">
        <f t="shared" ref="P630:P632" si="968">N630+O630</f>
        <v>2088201.0610824616</v>
      </c>
      <c r="Q630" s="779">
        <f>Q626</f>
        <v>50516.081846153851</v>
      </c>
    </row>
    <row r="631" spans="1:17" s="780" customFormat="1">
      <c r="A631" s="811" t="s">
        <v>767</v>
      </c>
      <c r="B631" s="810" t="s">
        <v>769</v>
      </c>
      <c r="C631" s="804" t="s">
        <v>51</v>
      </c>
      <c r="D631" s="801" t="s">
        <v>31</v>
      </c>
      <c r="E631" s="779">
        <f t="shared" ref="E631:E632" si="969">E627</f>
        <v>1771840.4913000003</v>
      </c>
      <c r="F631" s="779"/>
      <c r="G631" s="779">
        <f t="shared" si="962"/>
        <v>9373.6224769230776</v>
      </c>
      <c r="H631" s="779">
        <f t="shared" si="962"/>
        <v>7632.2919999999995</v>
      </c>
      <c r="I631" s="779">
        <f t="shared" si="962"/>
        <v>8315.1034500000005</v>
      </c>
      <c r="J631" s="779">
        <f t="shared" si="962"/>
        <v>19126.92726</v>
      </c>
      <c r="K631" s="776">
        <f t="shared" si="963"/>
        <v>1816288.4364869234</v>
      </c>
      <c r="L631" s="776">
        <f t="shared" si="964"/>
        <v>272443.26547303848</v>
      </c>
      <c r="M631" s="776">
        <f t="shared" si="965"/>
        <v>2088731.7019599618</v>
      </c>
      <c r="N631" s="776">
        <f t="shared" si="966"/>
        <v>1807973.3330369233</v>
      </c>
      <c r="O631" s="776">
        <f t="shared" si="967"/>
        <v>271195.99995553849</v>
      </c>
      <c r="P631" s="776">
        <f t="shared" si="968"/>
        <v>2079169.3329924617</v>
      </c>
      <c r="Q631" s="779">
        <f t="shared" ref="Q631:Q632" si="970">Q627</f>
        <v>50310.529076923078</v>
      </c>
    </row>
    <row r="632" spans="1:17" s="780" customFormat="1">
      <c r="A632" s="811" t="s">
        <v>767</v>
      </c>
      <c r="B632" s="810" t="s">
        <v>770</v>
      </c>
      <c r="C632" s="804" t="s">
        <v>51</v>
      </c>
      <c r="D632" s="801" t="s">
        <v>31</v>
      </c>
      <c r="E632" s="779">
        <f t="shared" si="969"/>
        <v>2287901.0236500003</v>
      </c>
      <c r="F632" s="779"/>
      <c r="G632" s="779">
        <f t="shared" si="962"/>
        <v>12185.709220000001</v>
      </c>
      <c r="H632" s="779">
        <f t="shared" si="962"/>
        <v>7632.2919999999995</v>
      </c>
      <c r="I632" s="779">
        <f t="shared" si="962"/>
        <v>10809.634485</v>
      </c>
      <c r="J632" s="779">
        <f t="shared" si="962"/>
        <v>24865.005438</v>
      </c>
      <c r="K632" s="776">
        <f t="shared" si="963"/>
        <v>2343393.6647930001</v>
      </c>
      <c r="L632" s="776">
        <f t="shared" si="964"/>
        <v>351509.04971895</v>
      </c>
      <c r="M632" s="776">
        <f t="shared" si="965"/>
        <v>2694902.71451195</v>
      </c>
      <c r="N632" s="776">
        <f t="shared" si="966"/>
        <v>2332584.0303080003</v>
      </c>
      <c r="O632" s="776">
        <f t="shared" si="967"/>
        <v>349887.60454620002</v>
      </c>
      <c r="P632" s="776">
        <f t="shared" si="968"/>
        <v>2682471.6348542003</v>
      </c>
      <c r="Q632" s="779">
        <f t="shared" si="970"/>
        <v>64942.531076923078</v>
      </c>
    </row>
    <row r="633" spans="1:17" s="780" customFormat="1">
      <c r="A633" s="771">
        <v>15</v>
      </c>
      <c r="B633" s="774" t="s">
        <v>290</v>
      </c>
      <c r="C633" s="771" t="s">
        <v>51</v>
      </c>
      <c r="D633" s="771" t="s">
        <v>31</v>
      </c>
      <c r="E633" s="779"/>
      <c r="F633" s="779"/>
      <c r="G633" s="779"/>
      <c r="H633" s="779"/>
      <c r="I633" s="779"/>
      <c r="J633" s="779"/>
      <c r="K633" s="779"/>
      <c r="L633" s="779"/>
      <c r="M633" s="779"/>
      <c r="N633" s="779"/>
      <c r="O633" s="779"/>
      <c r="P633" s="779"/>
      <c r="Q633" s="779"/>
    </row>
    <row r="634" spans="1:17" s="780" customFormat="1">
      <c r="A634" s="771">
        <v>15.1</v>
      </c>
      <c r="B634" s="808" t="s">
        <v>771</v>
      </c>
      <c r="C634" s="804" t="s">
        <v>51</v>
      </c>
      <c r="D634" s="801" t="s">
        <v>31</v>
      </c>
      <c r="E634" s="779"/>
      <c r="F634" s="779"/>
      <c r="G634" s="779"/>
      <c r="H634" s="779"/>
      <c r="I634" s="779"/>
      <c r="J634" s="779"/>
      <c r="K634" s="779"/>
      <c r="L634" s="779"/>
      <c r="M634" s="779"/>
      <c r="N634" s="779"/>
      <c r="O634" s="779"/>
      <c r="P634" s="779"/>
      <c r="Q634" s="779"/>
    </row>
    <row r="635" spans="1:17" s="780" customFormat="1">
      <c r="A635" s="811" t="s">
        <v>767</v>
      </c>
      <c r="B635" s="810" t="s">
        <v>768</v>
      </c>
      <c r="C635" s="804" t="s">
        <v>51</v>
      </c>
      <c r="D635" s="801" t="s">
        <v>31</v>
      </c>
      <c r="E635" s="779">
        <f>NCong!M608</f>
        <v>1779694.1679000002</v>
      </c>
      <c r="F635" s="779"/>
      <c r="G635" s="779">
        <f>G626</f>
        <v>15622.70412820513</v>
      </c>
      <c r="H635" s="779">
        <f t="shared" ref="H635:J635" si="971">H626</f>
        <v>27173.82</v>
      </c>
      <c r="I635" s="779">
        <f t="shared" si="971"/>
        <v>13858.50575</v>
      </c>
      <c r="J635" s="779">
        <f t="shared" si="971"/>
        <v>31878.212100000001</v>
      </c>
      <c r="K635" s="776">
        <f t="shared" ref="K635:K637" si="972">SUM(E635:J635)</f>
        <v>1868227.4098782053</v>
      </c>
      <c r="L635" s="776">
        <f t="shared" ref="L635:L637" si="973">K635*15%</f>
        <v>280234.11148173077</v>
      </c>
      <c r="M635" s="776">
        <f t="shared" ref="M635:M637" si="974">K635+L635</f>
        <v>2148461.5213599359</v>
      </c>
      <c r="N635" s="776">
        <f t="shared" ref="N635:N637" si="975">K635-I635</f>
        <v>1854368.9041282053</v>
      </c>
      <c r="O635" s="776">
        <f t="shared" ref="O635:O637" si="976">$L$6*N635</f>
        <v>278155.33561923075</v>
      </c>
      <c r="P635" s="776">
        <f t="shared" ref="P635:P637" si="977">N635+O635</f>
        <v>2132524.2397474358</v>
      </c>
      <c r="Q635" s="779">
        <f>NCong!P608</f>
        <v>50516.081846153851</v>
      </c>
    </row>
    <row r="636" spans="1:17" s="780" customFormat="1">
      <c r="A636" s="811" t="s">
        <v>767</v>
      </c>
      <c r="B636" s="810" t="s">
        <v>769</v>
      </c>
      <c r="C636" s="804" t="s">
        <v>51</v>
      </c>
      <c r="D636" s="801" t="s">
        <v>31</v>
      </c>
      <c r="E636" s="779">
        <f>NCong!N608</f>
        <v>1771840.4913000003</v>
      </c>
      <c r="F636" s="779"/>
      <c r="G636" s="779">
        <f t="shared" ref="G636:J637" si="978">G627</f>
        <v>15622.70412820513</v>
      </c>
      <c r="H636" s="779">
        <f t="shared" si="978"/>
        <v>27173.82</v>
      </c>
      <c r="I636" s="779">
        <f t="shared" si="978"/>
        <v>13858.50575</v>
      </c>
      <c r="J636" s="779">
        <f t="shared" si="978"/>
        <v>31878.212100000001</v>
      </c>
      <c r="K636" s="776">
        <f t="shared" si="972"/>
        <v>1860373.7332782054</v>
      </c>
      <c r="L636" s="776">
        <f t="shared" si="973"/>
        <v>279056.05999173078</v>
      </c>
      <c r="M636" s="776">
        <f t="shared" si="974"/>
        <v>2139429.793269936</v>
      </c>
      <c r="N636" s="776">
        <f t="shared" si="975"/>
        <v>1846515.2275282054</v>
      </c>
      <c r="O636" s="776">
        <f t="shared" si="976"/>
        <v>276977.28412923077</v>
      </c>
      <c r="P636" s="776">
        <f t="shared" si="977"/>
        <v>2123492.5116574364</v>
      </c>
      <c r="Q636" s="779">
        <f>NCong!Q608</f>
        <v>50310.529076923078</v>
      </c>
    </row>
    <row r="637" spans="1:17" s="780" customFormat="1">
      <c r="A637" s="811" t="s">
        <v>767</v>
      </c>
      <c r="B637" s="810" t="s">
        <v>770</v>
      </c>
      <c r="C637" s="804" t="s">
        <v>51</v>
      </c>
      <c r="D637" s="801" t="s">
        <v>31</v>
      </c>
      <c r="E637" s="779">
        <f>NCong!O608</f>
        <v>2287901.0236500003</v>
      </c>
      <c r="F637" s="779"/>
      <c r="G637" s="779">
        <f t="shared" si="978"/>
        <v>20309.51536666667</v>
      </c>
      <c r="H637" s="779">
        <f t="shared" si="978"/>
        <v>27173.82</v>
      </c>
      <c r="I637" s="779">
        <f t="shared" si="978"/>
        <v>18016.057475000001</v>
      </c>
      <c r="J637" s="779">
        <f t="shared" si="978"/>
        <v>41441.675730000003</v>
      </c>
      <c r="K637" s="776">
        <f t="shared" si="972"/>
        <v>2394842.0922216666</v>
      </c>
      <c r="L637" s="776">
        <f t="shared" si="973"/>
        <v>359226.31383324997</v>
      </c>
      <c r="M637" s="776">
        <f t="shared" si="974"/>
        <v>2754068.4060549168</v>
      </c>
      <c r="N637" s="776">
        <f t="shared" si="975"/>
        <v>2376826.0347466664</v>
      </c>
      <c r="O637" s="776">
        <f t="shared" si="976"/>
        <v>356523.90521199995</v>
      </c>
      <c r="P637" s="776">
        <f t="shared" si="977"/>
        <v>2733349.9399586665</v>
      </c>
      <c r="Q637" s="779">
        <f>NCong!R608</f>
        <v>64942.531076923078</v>
      </c>
    </row>
    <row r="638" spans="1:17" s="780" customFormat="1">
      <c r="A638" s="771">
        <v>15.2</v>
      </c>
      <c r="B638" s="808" t="s">
        <v>772</v>
      </c>
      <c r="C638" s="804" t="s">
        <v>51</v>
      </c>
      <c r="D638" s="801" t="s">
        <v>31</v>
      </c>
      <c r="E638" s="779"/>
      <c r="F638" s="779"/>
      <c r="G638" s="779"/>
      <c r="H638" s="779"/>
      <c r="I638" s="779"/>
      <c r="J638" s="779"/>
      <c r="K638" s="779"/>
      <c r="L638" s="779"/>
      <c r="M638" s="779"/>
      <c r="N638" s="779"/>
      <c r="O638" s="779"/>
      <c r="P638" s="779"/>
      <c r="Q638" s="779"/>
    </row>
    <row r="639" spans="1:17" s="780" customFormat="1">
      <c r="A639" s="811" t="s">
        <v>767</v>
      </c>
      <c r="B639" s="810" t="s">
        <v>768</v>
      </c>
      <c r="C639" s="804" t="s">
        <v>51</v>
      </c>
      <c r="D639" s="801" t="s">
        <v>31</v>
      </c>
      <c r="E639" s="779">
        <f>E635</f>
        <v>1779694.1679000002</v>
      </c>
      <c r="F639" s="779"/>
      <c r="G639" s="779">
        <f t="shared" ref="G639:J641" si="979">G630</f>
        <v>9373.6224769230776</v>
      </c>
      <c r="H639" s="779">
        <f t="shared" si="979"/>
        <v>7632.2919999999995</v>
      </c>
      <c r="I639" s="779">
        <f t="shared" si="979"/>
        <v>8315.1034500000005</v>
      </c>
      <c r="J639" s="779">
        <f t="shared" si="979"/>
        <v>19126.92726</v>
      </c>
      <c r="K639" s="776">
        <f t="shared" ref="K639:K641" si="980">SUM(E639:J639)</f>
        <v>1824142.1130869233</v>
      </c>
      <c r="L639" s="776">
        <f t="shared" ref="L639:L641" si="981">K639*15%</f>
        <v>273621.31696303847</v>
      </c>
      <c r="M639" s="776">
        <f t="shared" ref="M639:M641" si="982">K639+L639</f>
        <v>2097763.4300499619</v>
      </c>
      <c r="N639" s="776">
        <f t="shared" ref="N639:N641" si="983">K639-I639</f>
        <v>1815827.0096369232</v>
      </c>
      <c r="O639" s="776">
        <f t="shared" ref="O639:O641" si="984">$L$6*N639</f>
        <v>272374.05144553847</v>
      </c>
      <c r="P639" s="776">
        <f t="shared" ref="P639:P641" si="985">N639+O639</f>
        <v>2088201.0610824616</v>
      </c>
      <c r="Q639" s="779">
        <f>Q635</f>
        <v>50516.081846153851</v>
      </c>
    </row>
    <row r="640" spans="1:17" s="780" customFormat="1">
      <c r="A640" s="811" t="s">
        <v>767</v>
      </c>
      <c r="B640" s="810" t="s">
        <v>769</v>
      </c>
      <c r="C640" s="804" t="s">
        <v>51</v>
      </c>
      <c r="D640" s="801" t="s">
        <v>31</v>
      </c>
      <c r="E640" s="779">
        <f t="shared" ref="E640:E641" si="986">E636</f>
        <v>1771840.4913000003</v>
      </c>
      <c r="F640" s="779"/>
      <c r="G640" s="779">
        <f t="shared" si="979"/>
        <v>9373.6224769230776</v>
      </c>
      <c r="H640" s="779">
        <f t="shared" si="979"/>
        <v>7632.2919999999995</v>
      </c>
      <c r="I640" s="779">
        <f t="shared" si="979"/>
        <v>8315.1034500000005</v>
      </c>
      <c r="J640" s="779">
        <f t="shared" si="979"/>
        <v>19126.92726</v>
      </c>
      <c r="K640" s="776">
        <f t="shared" si="980"/>
        <v>1816288.4364869234</v>
      </c>
      <c r="L640" s="776">
        <f t="shared" si="981"/>
        <v>272443.26547303848</v>
      </c>
      <c r="M640" s="776">
        <f t="shared" si="982"/>
        <v>2088731.7019599618</v>
      </c>
      <c r="N640" s="776">
        <f t="shared" si="983"/>
        <v>1807973.3330369233</v>
      </c>
      <c r="O640" s="776">
        <f t="shared" si="984"/>
        <v>271195.99995553849</v>
      </c>
      <c r="P640" s="776">
        <f t="shared" si="985"/>
        <v>2079169.3329924617</v>
      </c>
      <c r="Q640" s="779">
        <f t="shared" ref="Q640:Q641" si="987">Q636</f>
        <v>50310.529076923078</v>
      </c>
    </row>
    <row r="641" spans="1:17" s="780" customFormat="1">
      <c r="A641" s="811" t="s">
        <v>767</v>
      </c>
      <c r="B641" s="810" t="s">
        <v>770</v>
      </c>
      <c r="C641" s="804" t="s">
        <v>51</v>
      </c>
      <c r="D641" s="801" t="s">
        <v>31</v>
      </c>
      <c r="E641" s="779">
        <f t="shared" si="986"/>
        <v>2287901.0236500003</v>
      </c>
      <c r="F641" s="779"/>
      <c r="G641" s="779">
        <f t="shared" si="979"/>
        <v>12185.709220000001</v>
      </c>
      <c r="H641" s="779">
        <f t="shared" si="979"/>
        <v>7632.2919999999995</v>
      </c>
      <c r="I641" s="779">
        <f t="shared" si="979"/>
        <v>10809.634485</v>
      </c>
      <c r="J641" s="779">
        <f t="shared" si="979"/>
        <v>24865.005438</v>
      </c>
      <c r="K641" s="776">
        <f t="shared" si="980"/>
        <v>2343393.6647930001</v>
      </c>
      <c r="L641" s="776">
        <f t="shared" si="981"/>
        <v>351509.04971895</v>
      </c>
      <c r="M641" s="776">
        <f t="shared" si="982"/>
        <v>2694902.71451195</v>
      </c>
      <c r="N641" s="776">
        <f t="shared" si="983"/>
        <v>2332584.0303080003</v>
      </c>
      <c r="O641" s="776">
        <f t="shared" si="984"/>
        <v>349887.60454620002</v>
      </c>
      <c r="P641" s="776">
        <f t="shared" si="985"/>
        <v>2682471.6348542003</v>
      </c>
      <c r="Q641" s="779">
        <f t="shared" si="987"/>
        <v>64942.531076923078</v>
      </c>
    </row>
    <row r="642" spans="1:17" s="780" customFormat="1" ht="14">
      <c r="A642" s="771">
        <v>16</v>
      </c>
      <c r="B642" s="774" t="s">
        <v>291</v>
      </c>
      <c r="C642" s="771" t="s">
        <v>51</v>
      </c>
      <c r="D642" s="771" t="s">
        <v>31</v>
      </c>
      <c r="E642" s="779"/>
      <c r="F642" s="779"/>
      <c r="G642" s="779"/>
      <c r="H642" s="779"/>
      <c r="I642" s="779"/>
      <c r="J642" s="779"/>
      <c r="K642" s="779"/>
      <c r="L642" s="779"/>
      <c r="M642" s="779"/>
      <c r="N642" s="779"/>
      <c r="O642" s="779"/>
      <c r="P642" s="779"/>
      <c r="Q642" s="779"/>
    </row>
    <row r="643" spans="1:17" s="780" customFormat="1">
      <c r="A643" s="771">
        <v>16.100000000000001</v>
      </c>
      <c r="B643" s="808" t="s">
        <v>771</v>
      </c>
      <c r="C643" s="804" t="s">
        <v>51</v>
      </c>
      <c r="D643" s="801" t="s">
        <v>31</v>
      </c>
      <c r="E643" s="779"/>
      <c r="F643" s="779"/>
      <c r="G643" s="779"/>
      <c r="H643" s="779"/>
      <c r="I643" s="779"/>
      <c r="J643" s="779"/>
      <c r="K643" s="779"/>
      <c r="L643" s="779"/>
      <c r="M643" s="779"/>
      <c r="N643" s="779"/>
      <c r="O643" s="779"/>
      <c r="P643" s="779"/>
      <c r="Q643" s="779"/>
    </row>
    <row r="644" spans="1:17" s="780" customFormat="1">
      <c r="A644" s="811" t="s">
        <v>767</v>
      </c>
      <c r="B644" s="810" t="s">
        <v>768</v>
      </c>
      <c r="C644" s="804" t="s">
        <v>51</v>
      </c>
      <c r="D644" s="801" t="s">
        <v>31</v>
      </c>
      <c r="E644" s="779">
        <f>NCong!M609</f>
        <v>1770049.4031000002</v>
      </c>
      <c r="F644" s="779"/>
      <c r="G644" s="779">
        <f>G635</f>
        <v>15622.70412820513</v>
      </c>
      <c r="H644" s="779">
        <f t="shared" ref="H644:J644" si="988">H635</f>
        <v>27173.82</v>
      </c>
      <c r="I644" s="779">
        <f t="shared" si="988"/>
        <v>13858.50575</v>
      </c>
      <c r="J644" s="779">
        <f t="shared" si="988"/>
        <v>31878.212100000001</v>
      </c>
      <c r="K644" s="776">
        <f t="shared" ref="K644:K646" si="989">SUM(E644:J644)</f>
        <v>1858582.6450782053</v>
      </c>
      <c r="L644" s="776">
        <f t="shared" ref="L644:L646" si="990">K644*15%</f>
        <v>278787.39676173078</v>
      </c>
      <c r="M644" s="776">
        <f t="shared" ref="M644:M646" si="991">K644+L644</f>
        <v>2137370.0418399358</v>
      </c>
      <c r="N644" s="776">
        <f t="shared" ref="N644:N646" si="992">K644-I644</f>
        <v>1844724.1393282053</v>
      </c>
      <c r="O644" s="776">
        <f t="shared" ref="O644:O646" si="993">$L$6*N644</f>
        <v>276708.62089923077</v>
      </c>
      <c r="P644" s="776">
        <f t="shared" ref="P644:P646" si="994">N644+O644</f>
        <v>2121432.7602274362</v>
      </c>
      <c r="Q644" s="779">
        <f>NCong!P609</f>
        <v>50255.764307692312</v>
      </c>
    </row>
    <row r="645" spans="1:17" s="780" customFormat="1">
      <c r="A645" s="811" t="s">
        <v>767</v>
      </c>
      <c r="B645" s="810" t="s">
        <v>769</v>
      </c>
      <c r="C645" s="804" t="s">
        <v>51</v>
      </c>
      <c r="D645" s="801" t="s">
        <v>31</v>
      </c>
      <c r="E645" s="779">
        <f>NCong!N609</f>
        <v>1766250.9117000003</v>
      </c>
      <c r="F645" s="779"/>
      <c r="G645" s="779">
        <f t="shared" ref="G645:J646" si="995">G636</f>
        <v>15622.70412820513</v>
      </c>
      <c r="H645" s="779">
        <f t="shared" si="995"/>
        <v>27173.82</v>
      </c>
      <c r="I645" s="779">
        <f t="shared" si="995"/>
        <v>13858.50575</v>
      </c>
      <c r="J645" s="779">
        <f t="shared" si="995"/>
        <v>31878.212100000001</v>
      </c>
      <c r="K645" s="776">
        <f t="shared" si="989"/>
        <v>1854784.1536782053</v>
      </c>
      <c r="L645" s="776">
        <f t="shared" si="990"/>
        <v>278217.6230517308</v>
      </c>
      <c r="M645" s="776">
        <f t="shared" si="991"/>
        <v>2133001.7767299362</v>
      </c>
      <c r="N645" s="776">
        <f t="shared" si="992"/>
        <v>1840925.6479282053</v>
      </c>
      <c r="O645" s="776">
        <f t="shared" si="993"/>
        <v>276138.84718923079</v>
      </c>
      <c r="P645" s="776">
        <f t="shared" si="994"/>
        <v>2117064.4951174362</v>
      </c>
      <c r="Q645" s="779">
        <f>NCong!Q609</f>
        <v>50159.663230769234</v>
      </c>
    </row>
    <row r="646" spans="1:17" s="780" customFormat="1">
      <c r="A646" s="811" t="s">
        <v>767</v>
      </c>
      <c r="B646" s="810" t="s">
        <v>770</v>
      </c>
      <c r="C646" s="804" t="s">
        <v>51</v>
      </c>
      <c r="D646" s="801" t="s">
        <v>31</v>
      </c>
      <c r="E646" s="779">
        <f>NCong!O609</f>
        <v>2274968.2708500004</v>
      </c>
      <c r="F646" s="779"/>
      <c r="G646" s="779">
        <f t="shared" si="995"/>
        <v>20309.51536666667</v>
      </c>
      <c r="H646" s="779">
        <f t="shared" si="995"/>
        <v>27173.82</v>
      </c>
      <c r="I646" s="779">
        <f t="shared" si="995"/>
        <v>18016.057475000001</v>
      </c>
      <c r="J646" s="779">
        <f t="shared" si="995"/>
        <v>41441.675730000003</v>
      </c>
      <c r="K646" s="776">
        <f t="shared" si="989"/>
        <v>2381909.3394216667</v>
      </c>
      <c r="L646" s="776">
        <f t="shared" si="990"/>
        <v>357286.40091324999</v>
      </c>
      <c r="M646" s="776">
        <f t="shared" si="991"/>
        <v>2739195.7403349169</v>
      </c>
      <c r="N646" s="776">
        <f t="shared" si="992"/>
        <v>2363893.2819466665</v>
      </c>
      <c r="O646" s="776">
        <f t="shared" si="993"/>
        <v>354583.99229199998</v>
      </c>
      <c r="P646" s="776">
        <f t="shared" si="994"/>
        <v>2718477.2742386665</v>
      </c>
      <c r="Q646" s="779">
        <f>NCong!R609</f>
        <v>64593.468923076922</v>
      </c>
    </row>
    <row r="647" spans="1:17" s="780" customFormat="1">
      <c r="A647" s="771">
        <v>16.2</v>
      </c>
      <c r="B647" s="808" t="s">
        <v>772</v>
      </c>
      <c r="C647" s="804" t="s">
        <v>51</v>
      </c>
      <c r="D647" s="801" t="s">
        <v>31</v>
      </c>
      <c r="E647" s="779"/>
      <c r="F647" s="779"/>
      <c r="G647" s="779"/>
      <c r="H647" s="779"/>
      <c r="I647" s="779"/>
      <c r="J647" s="779"/>
      <c r="K647" s="779"/>
      <c r="L647" s="779"/>
      <c r="M647" s="779"/>
      <c r="N647" s="779"/>
      <c r="O647" s="779"/>
      <c r="P647" s="779"/>
      <c r="Q647" s="779"/>
    </row>
    <row r="648" spans="1:17" s="780" customFormat="1">
      <c r="A648" s="811" t="s">
        <v>767</v>
      </c>
      <c r="B648" s="810" t="s">
        <v>768</v>
      </c>
      <c r="C648" s="804" t="s">
        <v>51</v>
      </c>
      <c r="D648" s="801" t="s">
        <v>31</v>
      </c>
      <c r="E648" s="779">
        <f>E644</f>
        <v>1770049.4031000002</v>
      </c>
      <c r="F648" s="779"/>
      <c r="G648" s="779">
        <f t="shared" ref="G648:J650" si="996">G639</f>
        <v>9373.6224769230776</v>
      </c>
      <c r="H648" s="779">
        <f t="shared" si="996"/>
        <v>7632.2919999999995</v>
      </c>
      <c r="I648" s="779">
        <f t="shared" si="996"/>
        <v>8315.1034500000005</v>
      </c>
      <c r="J648" s="779">
        <f t="shared" si="996"/>
        <v>19126.92726</v>
      </c>
      <c r="K648" s="776">
        <f t="shared" ref="K648:K650" si="997">SUM(E648:J648)</f>
        <v>1814497.3482869233</v>
      </c>
      <c r="L648" s="776">
        <f t="shared" ref="L648:L650" si="998">K648*15%</f>
        <v>272174.60224303848</v>
      </c>
      <c r="M648" s="776">
        <f t="shared" ref="M648:M650" si="999">K648+L648</f>
        <v>2086671.9505299618</v>
      </c>
      <c r="N648" s="776">
        <f t="shared" ref="N648:N650" si="1000">K648-I648</f>
        <v>1806182.2448369232</v>
      </c>
      <c r="O648" s="776">
        <f t="shared" ref="O648:O650" si="1001">$L$6*N648</f>
        <v>270927.33672553848</v>
      </c>
      <c r="P648" s="776">
        <f t="shared" ref="P648:P650" si="1002">N648+O648</f>
        <v>2077109.5815624618</v>
      </c>
      <c r="Q648" s="779">
        <f>Q644</f>
        <v>50255.764307692312</v>
      </c>
    </row>
    <row r="649" spans="1:17" s="780" customFormat="1">
      <c r="A649" s="811" t="s">
        <v>767</v>
      </c>
      <c r="B649" s="810" t="s">
        <v>769</v>
      </c>
      <c r="C649" s="804" t="s">
        <v>51</v>
      </c>
      <c r="D649" s="801" t="s">
        <v>31</v>
      </c>
      <c r="E649" s="779">
        <f t="shared" ref="E649:E650" si="1003">E645</f>
        <v>1766250.9117000003</v>
      </c>
      <c r="F649" s="779"/>
      <c r="G649" s="779">
        <f t="shared" si="996"/>
        <v>9373.6224769230776</v>
      </c>
      <c r="H649" s="779">
        <f t="shared" si="996"/>
        <v>7632.2919999999995</v>
      </c>
      <c r="I649" s="779">
        <f t="shared" si="996"/>
        <v>8315.1034500000005</v>
      </c>
      <c r="J649" s="779">
        <f t="shared" si="996"/>
        <v>19126.92726</v>
      </c>
      <c r="K649" s="776">
        <f t="shared" si="997"/>
        <v>1810698.8568869233</v>
      </c>
      <c r="L649" s="776">
        <f t="shared" si="998"/>
        <v>271604.8285330385</v>
      </c>
      <c r="M649" s="776">
        <f t="shared" si="999"/>
        <v>2082303.6854199618</v>
      </c>
      <c r="N649" s="776">
        <f t="shared" si="1000"/>
        <v>1802383.7534369233</v>
      </c>
      <c r="O649" s="776">
        <f t="shared" si="1001"/>
        <v>270357.5630155385</v>
      </c>
      <c r="P649" s="776">
        <f t="shared" si="1002"/>
        <v>2072741.3164524618</v>
      </c>
      <c r="Q649" s="779">
        <f t="shared" ref="Q649:Q650" si="1004">Q645</f>
        <v>50159.663230769234</v>
      </c>
    </row>
    <row r="650" spans="1:17" s="780" customFormat="1">
      <c r="A650" s="811" t="s">
        <v>767</v>
      </c>
      <c r="B650" s="810" t="s">
        <v>770</v>
      </c>
      <c r="C650" s="804" t="s">
        <v>51</v>
      </c>
      <c r="D650" s="801" t="s">
        <v>31</v>
      </c>
      <c r="E650" s="779">
        <f t="shared" si="1003"/>
        <v>2274968.2708500004</v>
      </c>
      <c r="F650" s="779"/>
      <c r="G650" s="779">
        <f t="shared" si="996"/>
        <v>12185.709220000001</v>
      </c>
      <c r="H650" s="779">
        <f t="shared" si="996"/>
        <v>7632.2919999999995</v>
      </c>
      <c r="I650" s="779">
        <f t="shared" si="996"/>
        <v>10809.634485</v>
      </c>
      <c r="J650" s="779">
        <f t="shared" si="996"/>
        <v>24865.005438</v>
      </c>
      <c r="K650" s="776">
        <f t="shared" si="997"/>
        <v>2330460.9119930002</v>
      </c>
      <c r="L650" s="776">
        <f t="shared" si="998"/>
        <v>349569.13679895003</v>
      </c>
      <c r="M650" s="776">
        <f t="shared" si="999"/>
        <v>2680030.0487919501</v>
      </c>
      <c r="N650" s="776">
        <f t="shared" si="1000"/>
        <v>2319651.2775080004</v>
      </c>
      <c r="O650" s="776">
        <f t="shared" si="1001"/>
        <v>347947.69162620004</v>
      </c>
      <c r="P650" s="776">
        <f t="shared" si="1002"/>
        <v>2667598.9691342004</v>
      </c>
      <c r="Q650" s="779">
        <f t="shared" si="1004"/>
        <v>64593.468923076922</v>
      </c>
    </row>
    <row r="651" spans="1:17" s="780" customFormat="1" ht="14">
      <c r="A651" s="771">
        <v>17</v>
      </c>
      <c r="B651" s="774" t="s">
        <v>292</v>
      </c>
      <c r="C651" s="771" t="s">
        <v>51</v>
      </c>
      <c r="D651" s="771" t="s">
        <v>31</v>
      </c>
      <c r="E651" s="779"/>
      <c r="F651" s="779"/>
      <c r="G651" s="779"/>
      <c r="H651" s="779"/>
      <c r="I651" s="779"/>
      <c r="J651" s="779"/>
      <c r="K651" s="779"/>
      <c r="L651" s="779"/>
      <c r="M651" s="779"/>
      <c r="N651" s="779"/>
      <c r="O651" s="779"/>
      <c r="P651" s="779"/>
      <c r="Q651" s="779"/>
    </row>
    <row r="652" spans="1:17" s="780" customFormat="1">
      <c r="A652" s="771">
        <v>17.100000000000001</v>
      </c>
      <c r="B652" s="808" t="s">
        <v>771</v>
      </c>
      <c r="C652" s="804" t="s">
        <v>51</v>
      </c>
      <c r="D652" s="801" t="s">
        <v>31</v>
      </c>
      <c r="E652" s="779"/>
      <c r="F652" s="779"/>
      <c r="G652" s="779"/>
      <c r="H652" s="779"/>
      <c r="I652" s="779"/>
      <c r="J652" s="779"/>
      <c r="K652" s="779"/>
      <c r="L652" s="779"/>
      <c r="M652" s="779"/>
      <c r="N652" s="779"/>
      <c r="O652" s="779"/>
      <c r="P652" s="779"/>
      <c r="Q652" s="779"/>
    </row>
    <row r="653" spans="1:17" s="780" customFormat="1">
      <c r="A653" s="811" t="s">
        <v>767</v>
      </c>
      <c r="B653" s="810" t="s">
        <v>768</v>
      </c>
      <c r="C653" s="804" t="s">
        <v>51</v>
      </c>
      <c r="D653" s="801" t="s">
        <v>31</v>
      </c>
      <c r="E653" s="779">
        <f>NCong!M610</f>
        <v>1781090.1207000001</v>
      </c>
      <c r="F653" s="779"/>
      <c r="G653" s="779">
        <f>G644</f>
        <v>15622.70412820513</v>
      </c>
      <c r="H653" s="779">
        <f t="shared" ref="H653:J653" si="1005">H644</f>
        <v>27173.82</v>
      </c>
      <c r="I653" s="779">
        <f t="shared" si="1005"/>
        <v>13858.50575</v>
      </c>
      <c r="J653" s="779">
        <f t="shared" si="1005"/>
        <v>31878.212100000001</v>
      </c>
      <c r="K653" s="776">
        <f t="shared" ref="K653:K655" si="1006">SUM(E653:J653)</f>
        <v>1869623.3626782051</v>
      </c>
      <c r="L653" s="776">
        <f t="shared" ref="L653:L655" si="1007">K653*15%</f>
        <v>280443.50440173078</v>
      </c>
      <c r="M653" s="776">
        <f t="shared" ref="M653:M655" si="1008">K653+L653</f>
        <v>2150066.867079936</v>
      </c>
      <c r="N653" s="776">
        <f t="shared" ref="N653:N655" si="1009">K653-I653</f>
        <v>1855764.8569282051</v>
      </c>
      <c r="O653" s="776">
        <f t="shared" ref="O653:O655" si="1010">$L$6*N653</f>
        <v>278364.72853923077</v>
      </c>
      <c r="P653" s="776">
        <f t="shared" ref="P653:P655" si="1011">N653+O653</f>
        <v>2134129.5854674359</v>
      </c>
      <c r="Q653" s="779">
        <f>NCong!P610</f>
        <v>50553.75938461539</v>
      </c>
    </row>
    <row r="654" spans="1:17" s="780" customFormat="1">
      <c r="A654" s="811" t="s">
        <v>767</v>
      </c>
      <c r="B654" s="810" t="s">
        <v>769</v>
      </c>
      <c r="C654" s="804" t="s">
        <v>51</v>
      </c>
      <c r="D654" s="801" t="s">
        <v>31</v>
      </c>
      <c r="E654" s="779">
        <f>NCong!N610</f>
        <v>1772649.5094000003</v>
      </c>
      <c r="F654" s="779"/>
      <c r="G654" s="779">
        <f t="shared" ref="G654:J655" si="1012">G645</f>
        <v>15622.70412820513</v>
      </c>
      <c r="H654" s="779">
        <f t="shared" si="1012"/>
        <v>27173.82</v>
      </c>
      <c r="I654" s="779">
        <f t="shared" si="1012"/>
        <v>13858.50575</v>
      </c>
      <c r="J654" s="779">
        <f t="shared" si="1012"/>
        <v>31878.212100000001</v>
      </c>
      <c r="K654" s="776">
        <f t="shared" si="1006"/>
        <v>1861182.7513782054</v>
      </c>
      <c r="L654" s="776">
        <f t="shared" si="1007"/>
        <v>279177.41270673077</v>
      </c>
      <c r="M654" s="776">
        <f t="shared" si="1008"/>
        <v>2140360.164084936</v>
      </c>
      <c r="N654" s="776">
        <f t="shared" si="1009"/>
        <v>1847324.2456282054</v>
      </c>
      <c r="O654" s="776">
        <f t="shared" si="1010"/>
        <v>277098.63684423082</v>
      </c>
      <c r="P654" s="776">
        <f t="shared" si="1011"/>
        <v>2124422.8824724359</v>
      </c>
      <c r="Q654" s="779">
        <f>NCong!Q610</f>
        <v>50332.364923076922</v>
      </c>
    </row>
    <row r="655" spans="1:17" s="780" customFormat="1">
      <c r="A655" s="811" t="s">
        <v>767</v>
      </c>
      <c r="B655" s="810" t="s">
        <v>770</v>
      </c>
      <c r="C655" s="804" t="s">
        <v>51</v>
      </c>
      <c r="D655" s="801" t="s">
        <v>31</v>
      </c>
      <c r="E655" s="779">
        <f>NCong!O610</f>
        <v>2289772.8694500001</v>
      </c>
      <c r="F655" s="779"/>
      <c r="G655" s="779">
        <f t="shared" si="1012"/>
        <v>20309.51536666667</v>
      </c>
      <c r="H655" s="779">
        <f t="shared" si="1012"/>
        <v>27173.82</v>
      </c>
      <c r="I655" s="779">
        <f t="shared" si="1012"/>
        <v>18016.057475000001</v>
      </c>
      <c r="J655" s="779">
        <f t="shared" si="1012"/>
        <v>41441.675730000003</v>
      </c>
      <c r="K655" s="776">
        <f t="shared" si="1006"/>
        <v>2396713.9380216664</v>
      </c>
      <c r="L655" s="776">
        <f t="shared" si="1007"/>
        <v>359507.09070324997</v>
      </c>
      <c r="M655" s="776">
        <f t="shared" si="1008"/>
        <v>2756221.0287249163</v>
      </c>
      <c r="N655" s="776">
        <f t="shared" si="1009"/>
        <v>2378697.8805466662</v>
      </c>
      <c r="O655" s="776">
        <f t="shared" si="1010"/>
        <v>356804.6820819999</v>
      </c>
      <c r="P655" s="776">
        <f t="shared" si="1011"/>
        <v>2735502.5626286659</v>
      </c>
      <c r="Q655" s="779">
        <f>NCong!R610</f>
        <v>64993.053230769234</v>
      </c>
    </row>
    <row r="656" spans="1:17" s="780" customFormat="1">
      <c r="A656" s="771">
        <v>17.2</v>
      </c>
      <c r="B656" s="808" t="s">
        <v>772</v>
      </c>
      <c r="C656" s="804" t="s">
        <v>51</v>
      </c>
      <c r="D656" s="801" t="s">
        <v>31</v>
      </c>
      <c r="E656" s="779"/>
      <c r="F656" s="779"/>
      <c r="G656" s="779"/>
      <c r="H656" s="779"/>
      <c r="I656" s="779"/>
      <c r="J656" s="779"/>
      <c r="K656" s="779"/>
      <c r="L656" s="779"/>
      <c r="M656" s="779"/>
      <c r="N656" s="779"/>
      <c r="O656" s="779"/>
      <c r="P656" s="779"/>
      <c r="Q656" s="779"/>
    </row>
    <row r="657" spans="1:17" s="780" customFormat="1">
      <c r="A657" s="811" t="s">
        <v>767</v>
      </c>
      <c r="B657" s="810" t="s">
        <v>768</v>
      </c>
      <c r="C657" s="804" t="s">
        <v>51</v>
      </c>
      <c r="D657" s="801" t="s">
        <v>31</v>
      </c>
      <c r="E657" s="779">
        <f>E653</f>
        <v>1781090.1207000001</v>
      </c>
      <c r="F657" s="779"/>
      <c r="G657" s="779">
        <f t="shared" ref="G657:J659" si="1013">G648</f>
        <v>9373.6224769230776</v>
      </c>
      <c r="H657" s="779">
        <f t="shared" si="1013"/>
        <v>7632.2919999999995</v>
      </c>
      <c r="I657" s="779">
        <f t="shared" si="1013"/>
        <v>8315.1034500000005</v>
      </c>
      <c r="J657" s="779">
        <f t="shared" si="1013"/>
        <v>19126.92726</v>
      </c>
      <c r="K657" s="776">
        <f t="shared" ref="K657:K659" si="1014">SUM(E657:J657)</f>
        <v>1825538.0658869231</v>
      </c>
      <c r="L657" s="776">
        <f t="shared" ref="L657:L659" si="1015">K657*15%</f>
        <v>273830.70988303848</v>
      </c>
      <c r="M657" s="776">
        <f t="shared" ref="M657:M659" si="1016">K657+L657</f>
        <v>2099368.7757699615</v>
      </c>
      <c r="N657" s="776">
        <f t="shared" ref="N657:N659" si="1017">K657-I657</f>
        <v>1817222.9624369231</v>
      </c>
      <c r="O657" s="776">
        <f t="shared" ref="O657:O659" si="1018">$L$6*N657</f>
        <v>272583.44436553842</v>
      </c>
      <c r="P657" s="776">
        <f t="shared" ref="P657:P659" si="1019">N657+O657</f>
        <v>2089806.4068024615</v>
      </c>
      <c r="Q657" s="779">
        <f>Q653</f>
        <v>50553.75938461539</v>
      </c>
    </row>
    <row r="658" spans="1:17" s="780" customFormat="1">
      <c r="A658" s="811" t="s">
        <v>767</v>
      </c>
      <c r="B658" s="810" t="s">
        <v>769</v>
      </c>
      <c r="C658" s="804" t="s">
        <v>51</v>
      </c>
      <c r="D658" s="801" t="s">
        <v>31</v>
      </c>
      <c r="E658" s="779">
        <f t="shared" ref="E658:E659" si="1020">E654</f>
        <v>1772649.5094000003</v>
      </c>
      <c r="F658" s="779"/>
      <c r="G658" s="779">
        <f t="shared" si="1013"/>
        <v>9373.6224769230776</v>
      </c>
      <c r="H658" s="779">
        <f t="shared" si="1013"/>
        <v>7632.2919999999995</v>
      </c>
      <c r="I658" s="779">
        <f t="shared" si="1013"/>
        <v>8315.1034500000005</v>
      </c>
      <c r="J658" s="779">
        <f t="shared" si="1013"/>
        <v>19126.92726</v>
      </c>
      <c r="K658" s="776">
        <f t="shared" si="1014"/>
        <v>1817097.4545869234</v>
      </c>
      <c r="L658" s="776">
        <f t="shared" si="1015"/>
        <v>272564.61818803847</v>
      </c>
      <c r="M658" s="776">
        <f t="shared" si="1016"/>
        <v>2089662.0727749618</v>
      </c>
      <c r="N658" s="776">
        <f t="shared" si="1017"/>
        <v>1808782.3511369233</v>
      </c>
      <c r="O658" s="776">
        <f t="shared" si="1018"/>
        <v>271317.35267053847</v>
      </c>
      <c r="P658" s="776">
        <f t="shared" si="1019"/>
        <v>2080099.7038074618</v>
      </c>
      <c r="Q658" s="779">
        <f t="shared" ref="Q658:Q659" si="1021">Q654</f>
        <v>50332.364923076922</v>
      </c>
    </row>
    <row r="659" spans="1:17" s="780" customFormat="1">
      <c r="A659" s="811" t="s">
        <v>767</v>
      </c>
      <c r="B659" s="810" t="s">
        <v>770</v>
      </c>
      <c r="C659" s="804" t="s">
        <v>51</v>
      </c>
      <c r="D659" s="801" t="s">
        <v>31</v>
      </c>
      <c r="E659" s="779">
        <f t="shared" si="1020"/>
        <v>2289772.8694500001</v>
      </c>
      <c r="F659" s="779"/>
      <c r="G659" s="779">
        <f t="shared" si="1013"/>
        <v>12185.709220000001</v>
      </c>
      <c r="H659" s="779">
        <f t="shared" si="1013"/>
        <v>7632.2919999999995</v>
      </c>
      <c r="I659" s="779">
        <f t="shared" si="1013"/>
        <v>10809.634485</v>
      </c>
      <c r="J659" s="779">
        <f t="shared" si="1013"/>
        <v>24865.005438</v>
      </c>
      <c r="K659" s="776">
        <f t="shared" si="1014"/>
        <v>2345265.5105929999</v>
      </c>
      <c r="L659" s="776">
        <f t="shared" si="1015"/>
        <v>351789.82658894995</v>
      </c>
      <c r="M659" s="776">
        <f t="shared" si="1016"/>
        <v>2697055.33718195</v>
      </c>
      <c r="N659" s="776">
        <f t="shared" si="1017"/>
        <v>2334455.8761080001</v>
      </c>
      <c r="O659" s="776">
        <f t="shared" si="1018"/>
        <v>350168.38141620002</v>
      </c>
      <c r="P659" s="776">
        <f t="shared" si="1019"/>
        <v>2684624.2575242002</v>
      </c>
      <c r="Q659" s="779">
        <f t="shared" si="1021"/>
        <v>64993.053230769234</v>
      </c>
    </row>
    <row r="660" spans="1:17" s="780" customFormat="1">
      <c r="A660" s="771">
        <v>18</v>
      </c>
      <c r="B660" s="774" t="s">
        <v>270</v>
      </c>
      <c r="C660" s="771" t="s">
        <v>51</v>
      </c>
      <c r="D660" s="771" t="s">
        <v>31</v>
      </c>
      <c r="E660" s="779"/>
      <c r="F660" s="779"/>
      <c r="G660" s="779"/>
      <c r="H660" s="779"/>
      <c r="I660" s="779"/>
      <c r="J660" s="779"/>
      <c r="K660" s="779"/>
      <c r="L660" s="779"/>
      <c r="M660" s="779"/>
      <c r="N660" s="779"/>
      <c r="O660" s="779"/>
      <c r="P660" s="779"/>
      <c r="Q660" s="779"/>
    </row>
    <row r="661" spans="1:17" s="780" customFormat="1">
      <c r="A661" s="771">
        <v>18.100000000000001</v>
      </c>
      <c r="B661" s="808" t="s">
        <v>771</v>
      </c>
      <c r="C661" s="804" t="s">
        <v>51</v>
      </c>
      <c r="D661" s="801" t="s">
        <v>31</v>
      </c>
      <c r="E661" s="779"/>
      <c r="F661" s="779"/>
      <c r="G661" s="779"/>
      <c r="H661" s="779"/>
      <c r="I661" s="779"/>
      <c r="J661" s="779"/>
      <c r="K661" s="779"/>
      <c r="L661" s="779"/>
      <c r="M661" s="779"/>
      <c r="N661" s="779"/>
      <c r="O661" s="779"/>
      <c r="P661" s="779"/>
      <c r="Q661" s="779"/>
    </row>
    <row r="662" spans="1:17" s="780" customFormat="1">
      <c r="A662" s="811" t="s">
        <v>767</v>
      </c>
      <c r="B662" s="810" t="s">
        <v>768</v>
      </c>
      <c r="C662" s="804" t="s">
        <v>51</v>
      </c>
      <c r="D662" s="801" t="s">
        <v>31</v>
      </c>
      <c r="E662" s="779">
        <f>NCong!M611</f>
        <v>1774173.8091000002</v>
      </c>
      <c r="F662" s="779"/>
      <c r="G662" s="779">
        <f>G653</f>
        <v>15622.70412820513</v>
      </c>
      <c r="H662" s="779">
        <f t="shared" ref="H662:J662" si="1022">H653</f>
        <v>27173.82</v>
      </c>
      <c r="I662" s="779">
        <f t="shared" si="1022"/>
        <v>13858.50575</v>
      </c>
      <c r="J662" s="779">
        <f t="shared" si="1022"/>
        <v>31878.212100000001</v>
      </c>
      <c r="K662" s="776">
        <f t="shared" ref="K662:K664" si="1023">SUM(E662:J662)</f>
        <v>1862707.0510782052</v>
      </c>
      <c r="L662" s="776">
        <f t="shared" ref="L662:L664" si="1024">K662*15%</f>
        <v>279406.0576617308</v>
      </c>
      <c r="M662" s="776">
        <f t="shared" ref="M662:M664" si="1025">K662+L662</f>
        <v>2142113.1087399358</v>
      </c>
      <c r="N662" s="776">
        <f t="shared" ref="N662:N664" si="1026">K662-I662</f>
        <v>1848848.5453282052</v>
      </c>
      <c r="O662" s="776">
        <f t="shared" ref="O662:O664" si="1027">$L$6*N662</f>
        <v>277327.28179923078</v>
      </c>
      <c r="P662" s="776">
        <f t="shared" ref="P662:P664" si="1028">N662+O662</f>
        <v>2126175.8271274362</v>
      </c>
      <c r="Q662" s="779">
        <f>NCong!P611</f>
        <v>50367.084307692312</v>
      </c>
    </row>
    <row r="663" spans="1:17" s="780" customFormat="1">
      <c r="A663" s="811" t="s">
        <v>767</v>
      </c>
      <c r="B663" s="810" t="s">
        <v>769</v>
      </c>
      <c r="C663" s="804" t="s">
        <v>51</v>
      </c>
      <c r="D663" s="801" t="s">
        <v>31</v>
      </c>
      <c r="E663" s="779">
        <f>NCong!N611</f>
        <v>1768641.1924500002</v>
      </c>
      <c r="F663" s="779"/>
      <c r="G663" s="779">
        <f t="shared" ref="G663:J664" si="1029">G654</f>
        <v>15622.70412820513</v>
      </c>
      <c r="H663" s="779">
        <f t="shared" si="1029"/>
        <v>27173.82</v>
      </c>
      <c r="I663" s="779">
        <f t="shared" si="1029"/>
        <v>13858.50575</v>
      </c>
      <c r="J663" s="779">
        <f t="shared" si="1029"/>
        <v>31878.212100000001</v>
      </c>
      <c r="K663" s="776">
        <f t="shared" si="1023"/>
        <v>1857174.4344282052</v>
      </c>
      <c r="L663" s="776">
        <f t="shared" si="1024"/>
        <v>278576.1651642308</v>
      </c>
      <c r="M663" s="776">
        <f t="shared" si="1025"/>
        <v>2135750.5995924361</v>
      </c>
      <c r="N663" s="776">
        <f t="shared" si="1026"/>
        <v>1843315.9286782052</v>
      </c>
      <c r="O663" s="776">
        <f t="shared" si="1027"/>
        <v>276497.38930173079</v>
      </c>
      <c r="P663" s="776">
        <f t="shared" si="1028"/>
        <v>2119813.317979936</v>
      </c>
      <c r="Q663" s="779">
        <f>NCong!Q611</f>
        <v>50224.178230769234</v>
      </c>
    </row>
    <row r="664" spans="1:17" s="780" customFormat="1">
      <c r="A664" s="811" t="s">
        <v>767</v>
      </c>
      <c r="B664" s="810" t="s">
        <v>770</v>
      </c>
      <c r="C664" s="804" t="s">
        <v>51</v>
      </c>
      <c r="D664" s="801" t="s">
        <v>31</v>
      </c>
      <c r="E664" s="779">
        <f>NCong!O611</f>
        <v>2280498.7243500003</v>
      </c>
      <c r="F664" s="779"/>
      <c r="G664" s="779">
        <f t="shared" si="1029"/>
        <v>20309.51536666667</v>
      </c>
      <c r="H664" s="779">
        <f t="shared" si="1029"/>
        <v>27173.82</v>
      </c>
      <c r="I664" s="779">
        <f t="shared" si="1029"/>
        <v>18016.057475000001</v>
      </c>
      <c r="J664" s="779">
        <f t="shared" si="1029"/>
        <v>41441.675730000003</v>
      </c>
      <c r="K664" s="776">
        <f t="shared" si="1023"/>
        <v>2387439.7929216665</v>
      </c>
      <c r="L664" s="776">
        <f t="shared" si="1024"/>
        <v>358115.96893824998</v>
      </c>
      <c r="M664" s="776">
        <f t="shared" si="1025"/>
        <v>2745555.7618599166</v>
      </c>
      <c r="N664" s="776">
        <f t="shared" si="1026"/>
        <v>2369423.7354466664</v>
      </c>
      <c r="O664" s="776">
        <f t="shared" si="1027"/>
        <v>355413.56031699997</v>
      </c>
      <c r="P664" s="776">
        <f t="shared" si="1028"/>
        <v>2724837.2957636663</v>
      </c>
      <c r="Q664" s="779">
        <f>NCong!R611</f>
        <v>64742.738923076926</v>
      </c>
    </row>
    <row r="665" spans="1:17" s="780" customFormat="1">
      <c r="A665" s="771">
        <v>18.2</v>
      </c>
      <c r="B665" s="808" t="s">
        <v>772</v>
      </c>
      <c r="C665" s="804" t="s">
        <v>51</v>
      </c>
      <c r="D665" s="801" t="s">
        <v>31</v>
      </c>
      <c r="E665" s="779"/>
      <c r="F665" s="779"/>
      <c r="G665" s="779"/>
      <c r="H665" s="779"/>
      <c r="I665" s="779"/>
      <c r="J665" s="779"/>
      <c r="K665" s="779"/>
      <c r="L665" s="779"/>
      <c r="M665" s="779"/>
      <c r="N665" s="779"/>
      <c r="O665" s="779"/>
      <c r="P665" s="779"/>
      <c r="Q665" s="779"/>
    </row>
    <row r="666" spans="1:17" s="780" customFormat="1">
      <c r="A666" s="811" t="s">
        <v>767</v>
      </c>
      <c r="B666" s="810" t="s">
        <v>768</v>
      </c>
      <c r="C666" s="804" t="s">
        <v>51</v>
      </c>
      <c r="D666" s="801" t="s">
        <v>31</v>
      </c>
      <c r="E666" s="779">
        <f>E662</f>
        <v>1774173.8091000002</v>
      </c>
      <c r="F666" s="779"/>
      <c r="G666" s="779">
        <f t="shared" ref="G666:J668" si="1030">G657</f>
        <v>9373.6224769230776</v>
      </c>
      <c r="H666" s="779">
        <f t="shared" si="1030"/>
        <v>7632.2919999999995</v>
      </c>
      <c r="I666" s="779">
        <f t="shared" si="1030"/>
        <v>8315.1034500000005</v>
      </c>
      <c r="J666" s="779">
        <f t="shared" si="1030"/>
        <v>19126.92726</v>
      </c>
      <c r="K666" s="776">
        <f t="shared" ref="K666:K668" si="1031">SUM(E666:J666)</f>
        <v>1818621.7542869232</v>
      </c>
      <c r="L666" s="776">
        <f t="shared" ref="L666:L668" si="1032">K666*15%</f>
        <v>272793.26314303849</v>
      </c>
      <c r="M666" s="776">
        <f t="shared" ref="M666:M668" si="1033">K666+L666</f>
        <v>2091415.0174299618</v>
      </c>
      <c r="N666" s="776">
        <f t="shared" ref="N666:N668" si="1034">K666-I666</f>
        <v>1810306.6508369232</v>
      </c>
      <c r="O666" s="776">
        <f t="shared" ref="O666:O668" si="1035">$L$6*N666</f>
        <v>271545.99762553844</v>
      </c>
      <c r="P666" s="776">
        <f t="shared" ref="P666:P668" si="1036">N666+O666</f>
        <v>2081852.6484624615</v>
      </c>
      <c r="Q666" s="779">
        <f>Q662</f>
        <v>50367.084307692312</v>
      </c>
    </row>
    <row r="667" spans="1:17" s="780" customFormat="1">
      <c r="A667" s="811" t="s">
        <v>767</v>
      </c>
      <c r="B667" s="810" t="s">
        <v>769</v>
      </c>
      <c r="C667" s="804" t="s">
        <v>51</v>
      </c>
      <c r="D667" s="801" t="s">
        <v>31</v>
      </c>
      <c r="E667" s="779">
        <f t="shared" ref="E667:E668" si="1037">E663</f>
        <v>1768641.1924500002</v>
      </c>
      <c r="F667" s="779"/>
      <c r="G667" s="779">
        <f t="shared" si="1030"/>
        <v>9373.6224769230776</v>
      </c>
      <c r="H667" s="779">
        <f t="shared" si="1030"/>
        <v>7632.2919999999995</v>
      </c>
      <c r="I667" s="779">
        <f t="shared" si="1030"/>
        <v>8315.1034500000005</v>
      </c>
      <c r="J667" s="779">
        <f t="shared" si="1030"/>
        <v>19126.92726</v>
      </c>
      <c r="K667" s="776">
        <f t="shared" si="1031"/>
        <v>1813089.1376369232</v>
      </c>
      <c r="L667" s="776">
        <f t="shared" si="1032"/>
        <v>271963.3706455385</v>
      </c>
      <c r="M667" s="776">
        <f t="shared" si="1033"/>
        <v>2085052.5082824617</v>
      </c>
      <c r="N667" s="776">
        <f t="shared" si="1034"/>
        <v>1804774.0341869232</v>
      </c>
      <c r="O667" s="776">
        <f t="shared" si="1035"/>
        <v>270716.10512803844</v>
      </c>
      <c r="P667" s="776">
        <f t="shared" si="1036"/>
        <v>2075490.1393149616</v>
      </c>
      <c r="Q667" s="779">
        <f t="shared" ref="Q667:Q668" si="1038">Q663</f>
        <v>50224.178230769234</v>
      </c>
    </row>
    <row r="668" spans="1:17" s="780" customFormat="1">
      <c r="A668" s="811" t="s">
        <v>767</v>
      </c>
      <c r="B668" s="810" t="s">
        <v>770</v>
      </c>
      <c r="C668" s="804" t="s">
        <v>51</v>
      </c>
      <c r="D668" s="801" t="s">
        <v>31</v>
      </c>
      <c r="E668" s="779">
        <f t="shared" si="1037"/>
        <v>2280498.7243500003</v>
      </c>
      <c r="F668" s="779"/>
      <c r="G668" s="779">
        <f t="shared" si="1030"/>
        <v>12185.709220000001</v>
      </c>
      <c r="H668" s="779">
        <f t="shared" si="1030"/>
        <v>7632.2919999999995</v>
      </c>
      <c r="I668" s="779">
        <f t="shared" si="1030"/>
        <v>10809.634485</v>
      </c>
      <c r="J668" s="779">
        <f t="shared" si="1030"/>
        <v>24865.005438</v>
      </c>
      <c r="K668" s="776">
        <f t="shared" si="1031"/>
        <v>2335991.365493</v>
      </c>
      <c r="L668" s="776">
        <f t="shared" si="1032"/>
        <v>350398.70482395001</v>
      </c>
      <c r="M668" s="776">
        <f t="shared" si="1033"/>
        <v>2686390.0703169499</v>
      </c>
      <c r="N668" s="776">
        <f t="shared" si="1034"/>
        <v>2325181.7310080002</v>
      </c>
      <c r="O668" s="776">
        <f t="shared" si="1035"/>
        <v>348777.25965120003</v>
      </c>
      <c r="P668" s="776">
        <f t="shared" si="1036"/>
        <v>2673958.9906592001</v>
      </c>
      <c r="Q668" s="779">
        <f t="shared" si="1038"/>
        <v>64742.738923076926</v>
      </c>
    </row>
    <row r="669" spans="1:17" s="780" customFormat="1">
      <c r="A669" s="771">
        <v>19</v>
      </c>
      <c r="B669" s="808" t="s">
        <v>272</v>
      </c>
      <c r="C669" s="771" t="s">
        <v>51</v>
      </c>
      <c r="D669" s="771" t="s">
        <v>31</v>
      </c>
      <c r="E669" s="779"/>
      <c r="F669" s="779"/>
      <c r="G669" s="779"/>
      <c r="H669" s="779"/>
      <c r="I669" s="779"/>
      <c r="J669" s="779"/>
      <c r="K669" s="779"/>
      <c r="L669" s="779"/>
      <c r="M669" s="779"/>
      <c r="N669" s="779"/>
      <c r="O669" s="779"/>
      <c r="P669" s="779"/>
      <c r="Q669" s="779"/>
    </row>
    <row r="670" spans="1:17" s="780" customFormat="1">
      <c r="A670" s="771">
        <v>19.100000000000001</v>
      </c>
      <c r="B670" s="808" t="s">
        <v>771</v>
      </c>
      <c r="C670" s="804" t="s">
        <v>51</v>
      </c>
      <c r="D670" s="801" t="s">
        <v>31</v>
      </c>
      <c r="E670" s="779"/>
      <c r="F670" s="779"/>
      <c r="G670" s="779"/>
      <c r="H670" s="779"/>
      <c r="I670" s="779"/>
      <c r="J670" s="779"/>
      <c r="K670" s="779"/>
      <c r="L670" s="779"/>
      <c r="M670" s="779"/>
      <c r="N670" s="779"/>
      <c r="O670" s="779"/>
      <c r="P670" s="779"/>
      <c r="Q670" s="779"/>
    </row>
    <row r="671" spans="1:17" s="780" customFormat="1">
      <c r="A671" s="811" t="s">
        <v>767</v>
      </c>
      <c r="B671" s="810" t="s">
        <v>768</v>
      </c>
      <c r="C671" s="804" t="s">
        <v>51</v>
      </c>
      <c r="D671" s="801" t="s">
        <v>31</v>
      </c>
      <c r="E671" s="779">
        <f>NCong!M612</f>
        <v>1789338.9327000002</v>
      </c>
      <c r="F671" s="779"/>
      <c r="G671" s="779">
        <f>G662</f>
        <v>15622.70412820513</v>
      </c>
      <c r="H671" s="779">
        <f t="shared" ref="H671:J671" si="1039">H662</f>
        <v>27173.82</v>
      </c>
      <c r="I671" s="779">
        <f t="shared" si="1039"/>
        <v>13858.50575</v>
      </c>
      <c r="J671" s="779">
        <f t="shared" si="1039"/>
        <v>31878.212100000001</v>
      </c>
      <c r="K671" s="776">
        <f t="shared" ref="K671:K673" si="1040">SUM(E671:J671)</f>
        <v>1877872.1746782053</v>
      </c>
      <c r="L671" s="776">
        <f t="shared" ref="L671:L673" si="1041">K671*15%</f>
        <v>281680.82620173076</v>
      </c>
      <c r="M671" s="776">
        <f t="shared" ref="M671:M673" si="1042">K671+L671</f>
        <v>2159553.0008799359</v>
      </c>
      <c r="N671" s="776">
        <f t="shared" ref="N671:N673" si="1043">K671-I671</f>
        <v>1864013.6689282053</v>
      </c>
      <c r="O671" s="776">
        <f t="shared" ref="O671:O673" si="1044">$L$6*N671</f>
        <v>279602.0503392308</v>
      </c>
      <c r="P671" s="776">
        <f t="shared" ref="P671:P673" si="1045">N671+O671</f>
        <v>2143615.7192674363</v>
      </c>
      <c r="Q671" s="779">
        <f>NCong!P612</f>
        <v>50776.39938461539</v>
      </c>
    </row>
    <row r="672" spans="1:17" s="780" customFormat="1">
      <c r="A672" s="811" t="s">
        <v>767</v>
      </c>
      <c r="B672" s="810" t="s">
        <v>769</v>
      </c>
      <c r="C672" s="804" t="s">
        <v>51</v>
      </c>
      <c r="D672" s="801" t="s">
        <v>31</v>
      </c>
      <c r="E672" s="779">
        <f>NCong!N612</f>
        <v>1777430.0709000002</v>
      </c>
      <c r="F672" s="779"/>
      <c r="G672" s="779">
        <f t="shared" ref="G672:J673" si="1046">G663</f>
        <v>15622.70412820513</v>
      </c>
      <c r="H672" s="779">
        <f t="shared" si="1046"/>
        <v>27173.82</v>
      </c>
      <c r="I672" s="779">
        <f t="shared" si="1046"/>
        <v>13858.50575</v>
      </c>
      <c r="J672" s="779">
        <f t="shared" si="1046"/>
        <v>31878.212100000001</v>
      </c>
      <c r="K672" s="776">
        <f t="shared" si="1040"/>
        <v>1865963.3128782052</v>
      </c>
      <c r="L672" s="776">
        <f t="shared" si="1041"/>
        <v>279894.49693173077</v>
      </c>
      <c r="M672" s="776">
        <f t="shared" si="1042"/>
        <v>2145857.8098099362</v>
      </c>
      <c r="N672" s="776">
        <f t="shared" si="1043"/>
        <v>1852104.8071282052</v>
      </c>
      <c r="O672" s="776">
        <f t="shared" si="1044"/>
        <v>277815.72106923076</v>
      </c>
      <c r="P672" s="776">
        <f t="shared" si="1045"/>
        <v>2129920.5281974361</v>
      </c>
      <c r="Q672" s="779">
        <f>NCong!Q612</f>
        <v>50461.394923076921</v>
      </c>
    </row>
    <row r="673" spans="1:17" s="780" customFormat="1">
      <c r="A673" s="811" t="s">
        <v>767</v>
      </c>
      <c r="B673" s="810" t="s">
        <v>770</v>
      </c>
      <c r="C673" s="804" t="s">
        <v>51</v>
      </c>
      <c r="D673" s="801" t="s">
        <v>31</v>
      </c>
      <c r="E673" s="779">
        <f>NCong!O612</f>
        <v>2300833.7764500002</v>
      </c>
      <c r="F673" s="779"/>
      <c r="G673" s="779">
        <f t="shared" si="1046"/>
        <v>20309.51536666667</v>
      </c>
      <c r="H673" s="779">
        <f t="shared" si="1046"/>
        <v>27173.82</v>
      </c>
      <c r="I673" s="779">
        <f t="shared" si="1046"/>
        <v>18016.057475000001</v>
      </c>
      <c r="J673" s="779">
        <f t="shared" si="1046"/>
        <v>41441.675730000003</v>
      </c>
      <c r="K673" s="776">
        <f t="shared" si="1040"/>
        <v>2407774.8450216665</v>
      </c>
      <c r="L673" s="776">
        <f t="shared" si="1041"/>
        <v>361166.22675324994</v>
      </c>
      <c r="M673" s="776">
        <f t="shared" si="1042"/>
        <v>2768941.0717749163</v>
      </c>
      <c r="N673" s="776">
        <f t="shared" si="1043"/>
        <v>2389758.7875466663</v>
      </c>
      <c r="O673" s="776">
        <f t="shared" si="1044"/>
        <v>358463.81813199993</v>
      </c>
      <c r="P673" s="776">
        <f t="shared" si="1045"/>
        <v>2748222.6056786664</v>
      </c>
      <c r="Q673" s="779">
        <f>NCong!R612</f>
        <v>65291.593230769235</v>
      </c>
    </row>
    <row r="674" spans="1:17" s="780" customFormat="1">
      <c r="A674" s="771">
        <v>19.2</v>
      </c>
      <c r="B674" s="808" t="s">
        <v>772</v>
      </c>
      <c r="C674" s="804" t="s">
        <v>51</v>
      </c>
      <c r="D674" s="801" t="s">
        <v>31</v>
      </c>
      <c r="E674" s="779"/>
      <c r="F674" s="779"/>
      <c r="G674" s="779"/>
      <c r="H674" s="779"/>
      <c r="I674" s="779"/>
      <c r="J674" s="779"/>
      <c r="K674" s="779"/>
      <c r="L674" s="779"/>
      <c r="M674" s="779"/>
      <c r="N674" s="779"/>
      <c r="O674" s="779"/>
      <c r="P674" s="779"/>
      <c r="Q674" s="779"/>
    </row>
    <row r="675" spans="1:17" s="780" customFormat="1">
      <c r="A675" s="811" t="s">
        <v>767</v>
      </c>
      <c r="B675" s="810" t="s">
        <v>768</v>
      </c>
      <c r="C675" s="804" t="s">
        <v>51</v>
      </c>
      <c r="D675" s="801" t="s">
        <v>31</v>
      </c>
      <c r="E675" s="779">
        <f>E671</f>
        <v>1789338.9327000002</v>
      </c>
      <c r="F675" s="779"/>
      <c r="G675" s="779">
        <f t="shared" ref="G675:J677" si="1047">G666</f>
        <v>9373.6224769230776</v>
      </c>
      <c r="H675" s="779">
        <f t="shared" si="1047"/>
        <v>7632.2919999999995</v>
      </c>
      <c r="I675" s="779">
        <f t="shared" si="1047"/>
        <v>8315.1034500000005</v>
      </c>
      <c r="J675" s="779">
        <f t="shared" si="1047"/>
        <v>19126.92726</v>
      </c>
      <c r="K675" s="776">
        <f t="shared" ref="K675:K677" si="1048">SUM(E675:J675)</f>
        <v>1833786.8778869233</v>
      </c>
      <c r="L675" s="776">
        <f t="shared" ref="L675:L677" si="1049">K675*15%</f>
        <v>275068.03168303845</v>
      </c>
      <c r="M675" s="776">
        <f t="shared" ref="M675:M677" si="1050">K675+L675</f>
        <v>2108854.909569962</v>
      </c>
      <c r="N675" s="776">
        <f t="shared" ref="N675:N677" si="1051">K675-I675</f>
        <v>1825471.7744369232</v>
      </c>
      <c r="O675" s="776">
        <f t="shared" ref="O675:O677" si="1052">$L$6*N675</f>
        <v>273820.76616553846</v>
      </c>
      <c r="P675" s="776">
        <f t="shared" ref="P675:P677" si="1053">N675+O675</f>
        <v>2099292.5406024614</v>
      </c>
      <c r="Q675" s="779">
        <f>Q671</f>
        <v>50776.39938461539</v>
      </c>
    </row>
    <row r="676" spans="1:17" s="780" customFormat="1">
      <c r="A676" s="811" t="s">
        <v>767</v>
      </c>
      <c r="B676" s="810" t="s">
        <v>769</v>
      </c>
      <c r="C676" s="804" t="s">
        <v>51</v>
      </c>
      <c r="D676" s="801" t="s">
        <v>31</v>
      </c>
      <c r="E676" s="779">
        <f t="shared" ref="E676:E677" si="1054">E672</f>
        <v>1777430.0709000002</v>
      </c>
      <c r="F676" s="779"/>
      <c r="G676" s="779">
        <f t="shared" si="1047"/>
        <v>9373.6224769230776</v>
      </c>
      <c r="H676" s="779">
        <f t="shared" si="1047"/>
        <v>7632.2919999999995</v>
      </c>
      <c r="I676" s="779">
        <f t="shared" si="1047"/>
        <v>8315.1034500000005</v>
      </c>
      <c r="J676" s="779">
        <f t="shared" si="1047"/>
        <v>19126.92726</v>
      </c>
      <c r="K676" s="776">
        <f t="shared" si="1048"/>
        <v>1821878.0160869232</v>
      </c>
      <c r="L676" s="776">
        <f t="shared" si="1049"/>
        <v>273281.70241303847</v>
      </c>
      <c r="M676" s="776">
        <f t="shared" si="1050"/>
        <v>2095159.7184999618</v>
      </c>
      <c r="N676" s="776">
        <f t="shared" si="1051"/>
        <v>1813562.9126369231</v>
      </c>
      <c r="O676" s="776">
        <f t="shared" si="1052"/>
        <v>272034.43689553847</v>
      </c>
      <c r="P676" s="776">
        <f t="shared" si="1053"/>
        <v>2085597.3495324617</v>
      </c>
      <c r="Q676" s="779">
        <f t="shared" ref="Q676:Q677" si="1055">Q672</f>
        <v>50461.394923076921</v>
      </c>
    </row>
    <row r="677" spans="1:17" s="780" customFormat="1">
      <c r="A677" s="811" t="s">
        <v>767</v>
      </c>
      <c r="B677" s="810" t="s">
        <v>770</v>
      </c>
      <c r="C677" s="804" t="s">
        <v>51</v>
      </c>
      <c r="D677" s="801" t="s">
        <v>31</v>
      </c>
      <c r="E677" s="779">
        <f t="shared" si="1054"/>
        <v>2300833.7764500002</v>
      </c>
      <c r="F677" s="779"/>
      <c r="G677" s="779">
        <f t="shared" si="1047"/>
        <v>12185.709220000001</v>
      </c>
      <c r="H677" s="779">
        <f t="shared" si="1047"/>
        <v>7632.2919999999995</v>
      </c>
      <c r="I677" s="779">
        <f t="shared" si="1047"/>
        <v>10809.634485</v>
      </c>
      <c r="J677" s="779">
        <f t="shared" si="1047"/>
        <v>24865.005438</v>
      </c>
      <c r="K677" s="776">
        <f t="shared" si="1048"/>
        <v>2356326.417593</v>
      </c>
      <c r="L677" s="776">
        <f t="shared" si="1049"/>
        <v>353448.96263894998</v>
      </c>
      <c r="M677" s="776">
        <f t="shared" si="1050"/>
        <v>2709775.38023195</v>
      </c>
      <c r="N677" s="776">
        <f t="shared" si="1051"/>
        <v>2345516.7831080002</v>
      </c>
      <c r="O677" s="776">
        <f t="shared" si="1052"/>
        <v>351827.51746619999</v>
      </c>
      <c r="P677" s="776">
        <f t="shared" si="1053"/>
        <v>2697344.3005742002</v>
      </c>
      <c r="Q677" s="779">
        <f t="shared" si="1055"/>
        <v>65291.593230769235</v>
      </c>
    </row>
    <row r="678" spans="1:17" s="780" customFormat="1">
      <c r="A678" s="771">
        <v>20</v>
      </c>
      <c r="B678" s="808" t="s">
        <v>293</v>
      </c>
      <c r="C678" s="771" t="s">
        <v>51</v>
      </c>
      <c r="D678" s="771" t="s">
        <v>31</v>
      </c>
      <c r="E678" s="779"/>
      <c r="F678" s="779"/>
      <c r="G678" s="779"/>
      <c r="H678" s="779"/>
      <c r="I678" s="779"/>
      <c r="J678" s="779"/>
      <c r="K678" s="779"/>
      <c r="L678" s="779"/>
      <c r="M678" s="779"/>
      <c r="N678" s="779"/>
      <c r="O678" s="779"/>
      <c r="P678" s="779"/>
      <c r="Q678" s="779"/>
    </row>
    <row r="679" spans="1:17" s="780" customFormat="1">
      <c r="A679" s="771">
        <v>20.100000000000001</v>
      </c>
      <c r="B679" s="808" t="s">
        <v>771</v>
      </c>
      <c r="C679" s="804" t="s">
        <v>51</v>
      </c>
      <c r="D679" s="801" t="s">
        <v>31</v>
      </c>
      <c r="E679" s="779"/>
      <c r="F679" s="779"/>
      <c r="G679" s="779"/>
      <c r="H679" s="779"/>
      <c r="I679" s="779"/>
      <c r="J679" s="779"/>
      <c r="K679" s="779"/>
      <c r="L679" s="779"/>
      <c r="M679" s="779"/>
      <c r="N679" s="779"/>
      <c r="O679" s="779"/>
      <c r="P679" s="779"/>
      <c r="Q679" s="779"/>
    </row>
    <row r="680" spans="1:17" s="780" customFormat="1">
      <c r="A680" s="811" t="s">
        <v>767</v>
      </c>
      <c r="B680" s="810" t="s">
        <v>768</v>
      </c>
      <c r="C680" s="804" t="s">
        <v>51</v>
      </c>
      <c r="D680" s="801" t="s">
        <v>31</v>
      </c>
      <c r="E680" s="779">
        <f>NCong!M613</f>
        <v>1774173.8091000002</v>
      </c>
      <c r="F680" s="779"/>
      <c r="G680" s="779">
        <f>G671</f>
        <v>15622.70412820513</v>
      </c>
      <c r="H680" s="779">
        <f t="shared" ref="H680:J680" si="1056">H671</f>
        <v>27173.82</v>
      </c>
      <c r="I680" s="779">
        <f t="shared" si="1056"/>
        <v>13858.50575</v>
      </c>
      <c r="J680" s="779">
        <f t="shared" si="1056"/>
        <v>31878.212100000001</v>
      </c>
      <c r="K680" s="776">
        <f t="shared" ref="K680:K682" si="1057">SUM(E680:J680)</f>
        <v>1862707.0510782052</v>
      </c>
      <c r="L680" s="776">
        <f t="shared" ref="L680:L682" si="1058">K680*15%</f>
        <v>279406.0576617308</v>
      </c>
      <c r="M680" s="776">
        <f t="shared" ref="M680:M682" si="1059">K680+L680</f>
        <v>2142113.1087399358</v>
      </c>
      <c r="N680" s="776">
        <f t="shared" ref="N680:N682" si="1060">K680-I680</f>
        <v>1848848.5453282052</v>
      </c>
      <c r="O680" s="776">
        <f t="shared" ref="O680:O682" si="1061">$L$6*N680</f>
        <v>277327.28179923078</v>
      </c>
      <c r="P680" s="776">
        <f t="shared" ref="P680:P682" si="1062">N680+O680</f>
        <v>2126175.8271274362</v>
      </c>
      <c r="Q680" s="779">
        <f>NCong!P613</f>
        <v>50367.084307692312</v>
      </c>
    </row>
    <row r="681" spans="1:17" s="780" customFormat="1">
      <c r="A681" s="811" t="s">
        <v>767</v>
      </c>
      <c r="B681" s="810" t="s">
        <v>769</v>
      </c>
      <c r="C681" s="804" t="s">
        <v>51</v>
      </c>
      <c r="D681" s="801" t="s">
        <v>31</v>
      </c>
      <c r="E681" s="779">
        <f>NCong!N613</f>
        <v>1768641.1924500002</v>
      </c>
      <c r="F681" s="779"/>
      <c r="G681" s="779">
        <f t="shared" ref="G681:J682" si="1063">G672</f>
        <v>15622.70412820513</v>
      </c>
      <c r="H681" s="779">
        <f t="shared" si="1063"/>
        <v>27173.82</v>
      </c>
      <c r="I681" s="779">
        <f t="shared" si="1063"/>
        <v>13858.50575</v>
      </c>
      <c r="J681" s="779">
        <f t="shared" si="1063"/>
        <v>31878.212100000001</v>
      </c>
      <c r="K681" s="776">
        <f t="shared" si="1057"/>
        <v>1857174.4344282052</v>
      </c>
      <c r="L681" s="776">
        <f t="shared" si="1058"/>
        <v>278576.1651642308</v>
      </c>
      <c r="M681" s="776">
        <f t="shared" si="1059"/>
        <v>2135750.5995924361</v>
      </c>
      <c r="N681" s="776">
        <f t="shared" si="1060"/>
        <v>1843315.9286782052</v>
      </c>
      <c r="O681" s="776">
        <f t="shared" si="1061"/>
        <v>276497.38930173079</v>
      </c>
      <c r="P681" s="776">
        <f t="shared" si="1062"/>
        <v>2119813.317979936</v>
      </c>
      <c r="Q681" s="779">
        <f>NCong!Q613</f>
        <v>50224.178230769234</v>
      </c>
    </row>
    <row r="682" spans="1:17" s="780" customFormat="1">
      <c r="A682" s="811" t="s">
        <v>767</v>
      </c>
      <c r="B682" s="810" t="s">
        <v>770</v>
      </c>
      <c r="C682" s="804" t="s">
        <v>51</v>
      </c>
      <c r="D682" s="801" t="s">
        <v>31</v>
      </c>
      <c r="E682" s="779">
        <f>NCong!O613</f>
        <v>2280498.7243500003</v>
      </c>
      <c r="F682" s="779"/>
      <c r="G682" s="779">
        <f t="shared" si="1063"/>
        <v>20309.51536666667</v>
      </c>
      <c r="H682" s="779">
        <f t="shared" si="1063"/>
        <v>27173.82</v>
      </c>
      <c r="I682" s="779">
        <f t="shared" si="1063"/>
        <v>18016.057475000001</v>
      </c>
      <c r="J682" s="779">
        <f t="shared" si="1063"/>
        <v>41441.675730000003</v>
      </c>
      <c r="K682" s="776">
        <f t="shared" si="1057"/>
        <v>2387439.7929216665</v>
      </c>
      <c r="L682" s="776">
        <f t="shared" si="1058"/>
        <v>358115.96893824998</v>
      </c>
      <c r="M682" s="776">
        <f t="shared" si="1059"/>
        <v>2745555.7618599166</v>
      </c>
      <c r="N682" s="776">
        <f t="shared" si="1060"/>
        <v>2369423.7354466664</v>
      </c>
      <c r="O682" s="776">
        <f t="shared" si="1061"/>
        <v>355413.56031699997</v>
      </c>
      <c r="P682" s="776">
        <f t="shared" si="1062"/>
        <v>2724837.2957636663</v>
      </c>
      <c r="Q682" s="779">
        <f>NCong!R613</f>
        <v>64742.738923076926</v>
      </c>
    </row>
    <row r="683" spans="1:17" s="780" customFormat="1">
      <c r="A683" s="771">
        <v>20.2</v>
      </c>
      <c r="B683" s="808" t="s">
        <v>772</v>
      </c>
      <c r="C683" s="804" t="s">
        <v>51</v>
      </c>
      <c r="D683" s="801" t="s">
        <v>31</v>
      </c>
      <c r="E683" s="779"/>
      <c r="F683" s="779"/>
      <c r="G683" s="779"/>
      <c r="H683" s="779"/>
      <c r="I683" s="779"/>
      <c r="J683" s="779"/>
      <c r="K683" s="779"/>
      <c r="L683" s="779"/>
      <c r="M683" s="779"/>
      <c r="N683" s="779"/>
      <c r="O683" s="779"/>
      <c r="P683" s="779"/>
      <c r="Q683" s="779"/>
    </row>
    <row r="684" spans="1:17" s="780" customFormat="1">
      <c r="A684" s="811" t="s">
        <v>767</v>
      </c>
      <c r="B684" s="810" t="s">
        <v>768</v>
      </c>
      <c r="C684" s="804" t="s">
        <v>51</v>
      </c>
      <c r="D684" s="801" t="s">
        <v>31</v>
      </c>
      <c r="E684" s="779">
        <f>E680</f>
        <v>1774173.8091000002</v>
      </c>
      <c r="F684" s="779"/>
      <c r="G684" s="779">
        <f t="shared" ref="G684:J686" si="1064">G675</f>
        <v>9373.6224769230776</v>
      </c>
      <c r="H684" s="779">
        <f t="shared" si="1064"/>
        <v>7632.2919999999995</v>
      </c>
      <c r="I684" s="779">
        <f t="shared" si="1064"/>
        <v>8315.1034500000005</v>
      </c>
      <c r="J684" s="779">
        <f t="shared" si="1064"/>
        <v>19126.92726</v>
      </c>
      <c r="K684" s="776">
        <f t="shared" ref="K684:K686" si="1065">SUM(E684:J684)</f>
        <v>1818621.7542869232</v>
      </c>
      <c r="L684" s="776">
        <f t="shared" ref="L684:L686" si="1066">K684*15%</f>
        <v>272793.26314303849</v>
      </c>
      <c r="M684" s="776">
        <f t="shared" ref="M684:M686" si="1067">K684+L684</f>
        <v>2091415.0174299618</v>
      </c>
      <c r="N684" s="776">
        <f t="shared" ref="N684:N686" si="1068">K684-I684</f>
        <v>1810306.6508369232</v>
      </c>
      <c r="O684" s="776">
        <f t="shared" ref="O684:O686" si="1069">$L$6*N684</f>
        <v>271545.99762553844</v>
      </c>
      <c r="P684" s="776">
        <f t="shared" ref="P684:P686" si="1070">N684+O684</f>
        <v>2081852.6484624615</v>
      </c>
      <c r="Q684" s="779">
        <f>Q680</f>
        <v>50367.084307692312</v>
      </c>
    </row>
    <row r="685" spans="1:17" s="780" customFormat="1">
      <c r="A685" s="811" t="s">
        <v>767</v>
      </c>
      <c r="B685" s="810" t="s">
        <v>769</v>
      </c>
      <c r="C685" s="804" t="s">
        <v>51</v>
      </c>
      <c r="D685" s="801" t="s">
        <v>31</v>
      </c>
      <c r="E685" s="779">
        <f t="shared" ref="E685:E686" si="1071">E681</f>
        <v>1768641.1924500002</v>
      </c>
      <c r="F685" s="779"/>
      <c r="G685" s="779">
        <f t="shared" si="1064"/>
        <v>9373.6224769230776</v>
      </c>
      <c r="H685" s="779">
        <f t="shared" si="1064"/>
        <v>7632.2919999999995</v>
      </c>
      <c r="I685" s="779">
        <f t="shared" si="1064"/>
        <v>8315.1034500000005</v>
      </c>
      <c r="J685" s="779">
        <f t="shared" si="1064"/>
        <v>19126.92726</v>
      </c>
      <c r="K685" s="776">
        <f t="shared" si="1065"/>
        <v>1813089.1376369232</v>
      </c>
      <c r="L685" s="776">
        <f t="shared" si="1066"/>
        <v>271963.3706455385</v>
      </c>
      <c r="M685" s="776">
        <f t="shared" si="1067"/>
        <v>2085052.5082824617</v>
      </c>
      <c r="N685" s="776">
        <f t="shared" si="1068"/>
        <v>1804774.0341869232</v>
      </c>
      <c r="O685" s="776">
        <f t="shared" si="1069"/>
        <v>270716.10512803844</v>
      </c>
      <c r="P685" s="776">
        <f t="shared" si="1070"/>
        <v>2075490.1393149616</v>
      </c>
      <c r="Q685" s="779">
        <f t="shared" ref="Q685:Q686" si="1072">Q681</f>
        <v>50224.178230769234</v>
      </c>
    </row>
    <row r="686" spans="1:17" s="780" customFormat="1">
      <c r="A686" s="811" t="s">
        <v>767</v>
      </c>
      <c r="B686" s="810" t="s">
        <v>770</v>
      </c>
      <c r="C686" s="804" t="s">
        <v>51</v>
      </c>
      <c r="D686" s="801" t="s">
        <v>31</v>
      </c>
      <c r="E686" s="779">
        <f t="shared" si="1071"/>
        <v>2280498.7243500003</v>
      </c>
      <c r="F686" s="779"/>
      <c r="G686" s="779">
        <f t="shared" si="1064"/>
        <v>12185.709220000001</v>
      </c>
      <c r="H686" s="779">
        <f t="shared" si="1064"/>
        <v>7632.2919999999995</v>
      </c>
      <c r="I686" s="779">
        <f t="shared" si="1064"/>
        <v>10809.634485</v>
      </c>
      <c r="J686" s="779">
        <f t="shared" si="1064"/>
        <v>24865.005438</v>
      </c>
      <c r="K686" s="776">
        <f t="shared" si="1065"/>
        <v>2335991.365493</v>
      </c>
      <c r="L686" s="776">
        <f t="shared" si="1066"/>
        <v>350398.70482395001</v>
      </c>
      <c r="M686" s="776">
        <f t="shared" si="1067"/>
        <v>2686390.0703169499</v>
      </c>
      <c r="N686" s="776">
        <f t="shared" si="1068"/>
        <v>2325181.7310080002</v>
      </c>
      <c r="O686" s="776">
        <f t="shared" si="1069"/>
        <v>348777.25965120003</v>
      </c>
      <c r="P686" s="776">
        <f t="shared" si="1070"/>
        <v>2673958.9906592001</v>
      </c>
      <c r="Q686" s="779">
        <f t="shared" si="1072"/>
        <v>64742.738923076926</v>
      </c>
    </row>
    <row r="687" spans="1:17" s="780" customFormat="1" ht="28">
      <c r="A687" s="771">
        <v>21</v>
      </c>
      <c r="B687" s="808" t="s">
        <v>276</v>
      </c>
      <c r="C687" s="771" t="s">
        <v>51</v>
      </c>
      <c r="D687" s="771" t="s">
        <v>31</v>
      </c>
      <c r="E687" s="779"/>
      <c r="F687" s="779"/>
      <c r="G687" s="779"/>
      <c r="H687" s="779"/>
      <c r="I687" s="779"/>
      <c r="J687" s="779"/>
      <c r="K687" s="779"/>
      <c r="L687" s="779"/>
      <c r="M687" s="779"/>
      <c r="N687" s="779"/>
      <c r="O687" s="779"/>
      <c r="P687" s="779"/>
      <c r="Q687" s="779"/>
    </row>
    <row r="688" spans="1:17" s="780" customFormat="1">
      <c r="A688" s="771">
        <v>21.1</v>
      </c>
      <c r="B688" s="808" t="s">
        <v>771</v>
      </c>
      <c r="C688" s="804" t="s">
        <v>51</v>
      </c>
      <c r="D688" s="801" t="s">
        <v>31</v>
      </c>
      <c r="E688" s="779"/>
      <c r="F688" s="779"/>
      <c r="G688" s="779"/>
      <c r="H688" s="779"/>
      <c r="I688" s="779"/>
      <c r="J688" s="779"/>
      <c r="K688" s="779"/>
      <c r="L688" s="779"/>
      <c r="M688" s="779"/>
      <c r="N688" s="779"/>
      <c r="O688" s="779"/>
      <c r="P688" s="779"/>
      <c r="Q688" s="779"/>
    </row>
    <row r="689" spans="1:17" s="780" customFormat="1">
      <c r="A689" s="811" t="s">
        <v>767</v>
      </c>
      <c r="B689" s="810" t="s">
        <v>768</v>
      </c>
      <c r="C689" s="804" t="s">
        <v>51</v>
      </c>
      <c r="D689" s="801" t="s">
        <v>31</v>
      </c>
      <c r="E689" s="779">
        <f>NCong!M614</f>
        <v>1778298.2151000001</v>
      </c>
      <c r="F689" s="779"/>
      <c r="G689" s="779">
        <f>G680</f>
        <v>15622.70412820513</v>
      </c>
      <c r="H689" s="779">
        <f t="shared" ref="H689:J689" si="1073">H680</f>
        <v>27173.82</v>
      </c>
      <c r="I689" s="779">
        <f t="shared" si="1073"/>
        <v>13858.50575</v>
      </c>
      <c r="J689" s="779">
        <f t="shared" si="1073"/>
        <v>31878.212100000001</v>
      </c>
      <c r="K689" s="776">
        <f t="shared" ref="K689:K691" si="1074">SUM(E689:J689)</f>
        <v>1866831.4570782052</v>
      </c>
      <c r="L689" s="776">
        <f t="shared" ref="L689:L691" si="1075">K689*15%</f>
        <v>280024.71856173076</v>
      </c>
      <c r="M689" s="776">
        <f t="shared" ref="M689:M691" si="1076">K689+L689</f>
        <v>2146856.1756399358</v>
      </c>
      <c r="N689" s="776">
        <f t="shared" ref="N689:N691" si="1077">K689-I689</f>
        <v>1852972.9513282052</v>
      </c>
      <c r="O689" s="776">
        <f t="shared" ref="O689:O691" si="1078">$L$6*N689</f>
        <v>277945.94269923074</v>
      </c>
      <c r="P689" s="776">
        <f t="shared" ref="P689:P691" si="1079">N689+O689</f>
        <v>2130918.8940274362</v>
      </c>
      <c r="Q689" s="779">
        <f>NCong!P614</f>
        <v>50478.404307692312</v>
      </c>
    </row>
    <row r="690" spans="1:17" s="780" customFormat="1">
      <c r="A690" s="811" t="s">
        <v>767</v>
      </c>
      <c r="B690" s="810" t="s">
        <v>769</v>
      </c>
      <c r="C690" s="804" t="s">
        <v>51</v>
      </c>
      <c r="D690" s="801" t="s">
        <v>31</v>
      </c>
      <c r="E690" s="779">
        <f>NCong!N614</f>
        <v>1771031.4732000004</v>
      </c>
      <c r="F690" s="779"/>
      <c r="G690" s="779">
        <f t="shared" ref="G690:J691" si="1080">G681</f>
        <v>15622.70412820513</v>
      </c>
      <c r="H690" s="779">
        <f t="shared" si="1080"/>
        <v>27173.82</v>
      </c>
      <c r="I690" s="779">
        <f t="shared" si="1080"/>
        <v>13858.50575</v>
      </c>
      <c r="J690" s="779">
        <f t="shared" si="1080"/>
        <v>31878.212100000001</v>
      </c>
      <c r="K690" s="776">
        <f t="shared" si="1074"/>
        <v>1859564.7151782054</v>
      </c>
      <c r="L690" s="776">
        <f t="shared" si="1075"/>
        <v>278934.7072767308</v>
      </c>
      <c r="M690" s="776">
        <f t="shared" si="1076"/>
        <v>2138499.4224549364</v>
      </c>
      <c r="N690" s="776">
        <f t="shared" si="1077"/>
        <v>1845706.2094282054</v>
      </c>
      <c r="O690" s="776">
        <f t="shared" si="1078"/>
        <v>276855.93141423078</v>
      </c>
      <c r="P690" s="776">
        <f t="shared" si="1079"/>
        <v>2122562.1408424363</v>
      </c>
      <c r="Q690" s="779">
        <f>NCong!Q614</f>
        <v>50288.693230769233</v>
      </c>
    </row>
    <row r="691" spans="1:17" s="780" customFormat="1">
      <c r="A691" s="811" t="s">
        <v>767</v>
      </c>
      <c r="B691" s="810" t="s">
        <v>770</v>
      </c>
      <c r="C691" s="804" t="s">
        <v>51</v>
      </c>
      <c r="D691" s="801" t="s">
        <v>31</v>
      </c>
      <c r="E691" s="779">
        <f>NCong!O614</f>
        <v>2286029.1778500001</v>
      </c>
      <c r="F691" s="779"/>
      <c r="G691" s="779">
        <f t="shared" si="1080"/>
        <v>20309.51536666667</v>
      </c>
      <c r="H691" s="779">
        <f t="shared" si="1080"/>
        <v>27173.82</v>
      </c>
      <c r="I691" s="779">
        <f t="shared" si="1080"/>
        <v>18016.057475000001</v>
      </c>
      <c r="J691" s="779">
        <f t="shared" si="1080"/>
        <v>41441.675730000003</v>
      </c>
      <c r="K691" s="776">
        <f t="shared" si="1074"/>
        <v>2392970.2464216664</v>
      </c>
      <c r="L691" s="776">
        <f t="shared" si="1075"/>
        <v>358945.53696324996</v>
      </c>
      <c r="M691" s="776">
        <f t="shared" si="1076"/>
        <v>2751915.7833849164</v>
      </c>
      <c r="N691" s="776">
        <f t="shared" si="1077"/>
        <v>2374954.1889466662</v>
      </c>
      <c r="O691" s="776">
        <f t="shared" si="1078"/>
        <v>356243.12834199989</v>
      </c>
      <c r="P691" s="776">
        <f t="shared" si="1079"/>
        <v>2731197.317288666</v>
      </c>
      <c r="Q691" s="779">
        <f>NCong!R614</f>
        <v>64892.008923076923</v>
      </c>
    </row>
    <row r="692" spans="1:17" s="780" customFormat="1">
      <c r="A692" s="771">
        <v>21.2</v>
      </c>
      <c r="B692" s="808" t="s">
        <v>772</v>
      </c>
      <c r="C692" s="804" t="s">
        <v>51</v>
      </c>
      <c r="D692" s="801" t="s">
        <v>31</v>
      </c>
      <c r="E692" s="779"/>
      <c r="F692" s="779"/>
      <c r="G692" s="779"/>
      <c r="H692" s="779"/>
      <c r="I692" s="779"/>
      <c r="J692" s="779"/>
      <c r="K692" s="779"/>
      <c r="L692" s="779"/>
      <c r="M692" s="779"/>
      <c r="N692" s="779"/>
      <c r="O692" s="779"/>
      <c r="P692" s="779"/>
      <c r="Q692" s="779"/>
    </row>
    <row r="693" spans="1:17" s="780" customFormat="1">
      <c r="A693" s="811" t="s">
        <v>767</v>
      </c>
      <c r="B693" s="810" t="s">
        <v>768</v>
      </c>
      <c r="C693" s="804" t="s">
        <v>51</v>
      </c>
      <c r="D693" s="801" t="s">
        <v>31</v>
      </c>
      <c r="E693" s="779">
        <f>E689</f>
        <v>1778298.2151000001</v>
      </c>
      <c r="F693" s="779"/>
      <c r="G693" s="779">
        <f t="shared" ref="G693:J695" si="1081">G684</f>
        <v>9373.6224769230776</v>
      </c>
      <c r="H693" s="779">
        <f t="shared" si="1081"/>
        <v>7632.2919999999995</v>
      </c>
      <c r="I693" s="779">
        <f t="shared" si="1081"/>
        <v>8315.1034500000005</v>
      </c>
      <c r="J693" s="779">
        <f t="shared" si="1081"/>
        <v>19126.92726</v>
      </c>
      <c r="K693" s="776">
        <f t="shared" ref="K693:K695" si="1082">SUM(E693:J693)</f>
        <v>1822746.1602869232</v>
      </c>
      <c r="L693" s="776">
        <f t="shared" ref="L693:L695" si="1083">K693*15%</f>
        <v>273411.92404303845</v>
      </c>
      <c r="M693" s="776">
        <f t="shared" ref="M693:M695" si="1084">K693+L693</f>
        <v>2096158.0843299616</v>
      </c>
      <c r="N693" s="776">
        <f t="shared" ref="N693:N695" si="1085">K693-I693</f>
        <v>1814431.0568369231</v>
      </c>
      <c r="O693" s="776">
        <f t="shared" ref="O693:O695" si="1086">$L$6*N693</f>
        <v>272164.65852553846</v>
      </c>
      <c r="P693" s="776">
        <f t="shared" ref="P693:P695" si="1087">N693+O693</f>
        <v>2086595.7153624615</v>
      </c>
      <c r="Q693" s="779">
        <f>Q689</f>
        <v>50478.404307692312</v>
      </c>
    </row>
    <row r="694" spans="1:17" s="780" customFormat="1">
      <c r="A694" s="811" t="s">
        <v>767</v>
      </c>
      <c r="B694" s="810" t="s">
        <v>769</v>
      </c>
      <c r="C694" s="804" t="s">
        <v>51</v>
      </c>
      <c r="D694" s="801" t="s">
        <v>31</v>
      </c>
      <c r="E694" s="779">
        <f t="shared" ref="E694:E695" si="1088">E690</f>
        <v>1771031.4732000004</v>
      </c>
      <c r="F694" s="779"/>
      <c r="G694" s="779">
        <f t="shared" si="1081"/>
        <v>9373.6224769230776</v>
      </c>
      <c r="H694" s="779">
        <f t="shared" si="1081"/>
        <v>7632.2919999999995</v>
      </c>
      <c r="I694" s="779">
        <f t="shared" si="1081"/>
        <v>8315.1034500000005</v>
      </c>
      <c r="J694" s="779">
        <f t="shared" si="1081"/>
        <v>19126.92726</v>
      </c>
      <c r="K694" s="776">
        <f t="shared" si="1082"/>
        <v>1815479.4183869234</v>
      </c>
      <c r="L694" s="776">
        <f t="shared" si="1083"/>
        <v>272321.9127580385</v>
      </c>
      <c r="M694" s="776">
        <f t="shared" si="1084"/>
        <v>2087801.331144962</v>
      </c>
      <c r="N694" s="776">
        <f t="shared" si="1085"/>
        <v>1807164.3149369233</v>
      </c>
      <c r="O694" s="776">
        <f t="shared" si="1086"/>
        <v>271074.6472405385</v>
      </c>
      <c r="P694" s="776">
        <f t="shared" si="1087"/>
        <v>2078238.9621774619</v>
      </c>
      <c r="Q694" s="779">
        <f t="shared" ref="Q694:Q695" si="1089">Q690</f>
        <v>50288.693230769233</v>
      </c>
    </row>
    <row r="695" spans="1:17" s="780" customFormat="1">
      <c r="A695" s="811" t="s">
        <v>767</v>
      </c>
      <c r="B695" s="810" t="s">
        <v>770</v>
      </c>
      <c r="C695" s="804" t="s">
        <v>51</v>
      </c>
      <c r="D695" s="801" t="s">
        <v>31</v>
      </c>
      <c r="E695" s="779">
        <f t="shared" si="1088"/>
        <v>2286029.1778500001</v>
      </c>
      <c r="F695" s="779"/>
      <c r="G695" s="779">
        <f t="shared" si="1081"/>
        <v>12185.709220000001</v>
      </c>
      <c r="H695" s="779">
        <f t="shared" si="1081"/>
        <v>7632.2919999999995</v>
      </c>
      <c r="I695" s="779">
        <f t="shared" si="1081"/>
        <v>10809.634485</v>
      </c>
      <c r="J695" s="779">
        <f t="shared" si="1081"/>
        <v>24865.005438</v>
      </c>
      <c r="K695" s="776">
        <f t="shared" si="1082"/>
        <v>2341521.8189929998</v>
      </c>
      <c r="L695" s="776">
        <f t="shared" si="1083"/>
        <v>351228.27284894994</v>
      </c>
      <c r="M695" s="776">
        <f t="shared" si="1084"/>
        <v>2692750.0918419496</v>
      </c>
      <c r="N695" s="776">
        <f t="shared" si="1085"/>
        <v>2330712.184508</v>
      </c>
      <c r="O695" s="776">
        <f t="shared" si="1086"/>
        <v>349606.82767620002</v>
      </c>
      <c r="P695" s="776">
        <f t="shared" si="1087"/>
        <v>2680319.0121841999</v>
      </c>
      <c r="Q695" s="779">
        <f t="shared" si="1089"/>
        <v>64892.008923076923</v>
      </c>
    </row>
    <row r="696" spans="1:17" s="780" customFormat="1" ht="14">
      <c r="A696" s="771">
        <v>22</v>
      </c>
      <c r="B696" s="808" t="s">
        <v>278</v>
      </c>
      <c r="C696" s="771" t="s">
        <v>51</v>
      </c>
      <c r="D696" s="771" t="s">
        <v>31</v>
      </c>
      <c r="E696" s="779"/>
      <c r="F696" s="779"/>
      <c r="G696" s="779"/>
      <c r="H696" s="779"/>
      <c r="I696" s="779"/>
      <c r="J696" s="779"/>
      <c r="K696" s="779"/>
      <c r="L696" s="779"/>
      <c r="M696" s="779"/>
      <c r="N696" s="779"/>
      <c r="O696" s="779"/>
      <c r="P696" s="779"/>
      <c r="Q696" s="779"/>
    </row>
    <row r="697" spans="1:17" s="780" customFormat="1">
      <c r="A697" s="771">
        <v>22.1</v>
      </c>
      <c r="B697" s="808" t="s">
        <v>771</v>
      </c>
      <c r="C697" s="804" t="s">
        <v>51</v>
      </c>
      <c r="D697" s="801" t="s">
        <v>31</v>
      </c>
      <c r="E697" s="779"/>
      <c r="F697" s="779"/>
      <c r="G697" s="779"/>
      <c r="H697" s="779"/>
      <c r="I697" s="779"/>
      <c r="J697" s="779"/>
      <c r="K697" s="779"/>
      <c r="L697" s="779"/>
      <c r="M697" s="779"/>
      <c r="N697" s="779"/>
      <c r="O697" s="779"/>
      <c r="P697" s="779"/>
      <c r="Q697" s="779"/>
    </row>
    <row r="698" spans="1:17" s="780" customFormat="1">
      <c r="A698" s="811" t="s">
        <v>767</v>
      </c>
      <c r="B698" s="810" t="s">
        <v>768</v>
      </c>
      <c r="C698" s="804" t="s">
        <v>51</v>
      </c>
      <c r="D698" s="801" t="s">
        <v>31</v>
      </c>
      <c r="E698" s="779">
        <f>NCong!M615</f>
        <v>1794859.2915000001</v>
      </c>
      <c r="F698" s="779"/>
      <c r="G698" s="779">
        <f>G689</f>
        <v>15622.70412820513</v>
      </c>
      <c r="H698" s="779">
        <f t="shared" ref="H698:J698" si="1090">H689</f>
        <v>27173.82</v>
      </c>
      <c r="I698" s="779">
        <f t="shared" si="1090"/>
        <v>13858.50575</v>
      </c>
      <c r="J698" s="779">
        <f t="shared" si="1090"/>
        <v>31878.212100000001</v>
      </c>
      <c r="K698" s="776">
        <f t="shared" ref="K698:K700" si="1091">SUM(E698:J698)</f>
        <v>1883392.5334782051</v>
      </c>
      <c r="L698" s="776">
        <f t="shared" ref="L698:L700" si="1092">K698*15%</f>
        <v>282508.88002173073</v>
      </c>
      <c r="M698" s="776">
        <f t="shared" ref="M698:M700" si="1093">K698+L698</f>
        <v>2165901.413499936</v>
      </c>
      <c r="N698" s="776">
        <f t="shared" ref="N698:N700" si="1094">K698-I698</f>
        <v>1869534.0277282051</v>
      </c>
      <c r="O698" s="776">
        <f t="shared" ref="O698:O700" si="1095">$L$6*N698</f>
        <v>280430.10415923077</v>
      </c>
      <c r="P698" s="776">
        <f t="shared" ref="P698:P700" si="1096">N698+O698</f>
        <v>2149964.1318874359</v>
      </c>
      <c r="Q698" s="779">
        <f>NCong!P615</f>
        <v>50925.396923076929</v>
      </c>
    </row>
    <row r="699" spans="1:17" s="780" customFormat="1">
      <c r="A699" s="811" t="s">
        <v>767</v>
      </c>
      <c r="B699" s="810" t="s">
        <v>769</v>
      </c>
      <c r="C699" s="804" t="s">
        <v>51</v>
      </c>
      <c r="D699" s="801" t="s">
        <v>31</v>
      </c>
      <c r="E699" s="779">
        <f>NCong!N615</f>
        <v>1780629.3697500003</v>
      </c>
      <c r="F699" s="779"/>
      <c r="G699" s="779">
        <f t="shared" ref="G699:J700" si="1097">G690</f>
        <v>15622.70412820513</v>
      </c>
      <c r="H699" s="779">
        <f t="shared" si="1097"/>
        <v>27173.82</v>
      </c>
      <c r="I699" s="779">
        <f t="shared" si="1097"/>
        <v>13858.50575</v>
      </c>
      <c r="J699" s="779">
        <f t="shared" si="1097"/>
        <v>31878.212100000001</v>
      </c>
      <c r="K699" s="776">
        <f t="shared" si="1091"/>
        <v>1869162.6117282053</v>
      </c>
      <c r="L699" s="776">
        <f t="shared" si="1092"/>
        <v>280374.39175923081</v>
      </c>
      <c r="M699" s="776">
        <f t="shared" si="1093"/>
        <v>2149537.0034874361</v>
      </c>
      <c r="N699" s="776">
        <f t="shared" si="1094"/>
        <v>1855304.1059782053</v>
      </c>
      <c r="O699" s="776">
        <f t="shared" si="1095"/>
        <v>278295.6158967308</v>
      </c>
      <c r="P699" s="776">
        <f t="shared" si="1096"/>
        <v>2133599.721874936</v>
      </c>
      <c r="Q699" s="779">
        <f>NCong!Q615</f>
        <v>50547.745769230773</v>
      </c>
    </row>
    <row r="700" spans="1:17" s="780" customFormat="1">
      <c r="A700" s="811" t="s">
        <v>767</v>
      </c>
      <c r="B700" s="810" t="s">
        <v>770</v>
      </c>
      <c r="C700" s="804" t="s">
        <v>51</v>
      </c>
      <c r="D700" s="801" t="s">
        <v>31</v>
      </c>
      <c r="E700" s="779">
        <f>NCong!O615</f>
        <v>2308236.0757500003</v>
      </c>
      <c r="F700" s="779"/>
      <c r="G700" s="779">
        <f t="shared" si="1097"/>
        <v>20309.51536666667</v>
      </c>
      <c r="H700" s="779">
        <f t="shared" si="1097"/>
        <v>27173.82</v>
      </c>
      <c r="I700" s="779">
        <f t="shared" si="1097"/>
        <v>18016.057475000001</v>
      </c>
      <c r="J700" s="779">
        <f t="shared" si="1097"/>
        <v>41441.675730000003</v>
      </c>
      <c r="K700" s="776">
        <f t="shared" si="1091"/>
        <v>2415177.1443216666</v>
      </c>
      <c r="L700" s="776">
        <f t="shared" si="1092"/>
        <v>362276.57164824998</v>
      </c>
      <c r="M700" s="776">
        <f t="shared" si="1093"/>
        <v>2777453.7159699164</v>
      </c>
      <c r="N700" s="776">
        <f t="shared" si="1094"/>
        <v>2397161.0868466664</v>
      </c>
      <c r="O700" s="776">
        <f t="shared" si="1095"/>
        <v>359574.16302699997</v>
      </c>
      <c r="P700" s="776">
        <f t="shared" si="1096"/>
        <v>2756735.2498736666</v>
      </c>
      <c r="Q700" s="779">
        <f>NCong!R615</f>
        <v>65491.385384615387</v>
      </c>
    </row>
    <row r="701" spans="1:17" s="780" customFormat="1">
      <c r="A701" s="771">
        <v>22.2</v>
      </c>
      <c r="B701" s="808" t="s">
        <v>772</v>
      </c>
      <c r="C701" s="804" t="s">
        <v>51</v>
      </c>
      <c r="D701" s="801" t="s">
        <v>31</v>
      </c>
      <c r="E701" s="779"/>
      <c r="F701" s="779"/>
      <c r="G701" s="779"/>
      <c r="H701" s="779"/>
      <c r="I701" s="779"/>
      <c r="J701" s="779"/>
      <c r="K701" s="779"/>
      <c r="L701" s="779"/>
      <c r="M701" s="779"/>
      <c r="N701" s="779"/>
      <c r="O701" s="779"/>
      <c r="P701" s="779"/>
      <c r="Q701" s="779"/>
    </row>
    <row r="702" spans="1:17" s="780" customFormat="1">
      <c r="A702" s="811" t="s">
        <v>767</v>
      </c>
      <c r="B702" s="810" t="s">
        <v>768</v>
      </c>
      <c r="C702" s="804" t="s">
        <v>51</v>
      </c>
      <c r="D702" s="801" t="s">
        <v>31</v>
      </c>
      <c r="E702" s="779">
        <f>E698</f>
        <v>1794859.2915000001</v>
      </c>
      <c r="F702" s="779"/>
      <c r="G702" s="779">
        <f t="shared" ref="G702:J704" si="1098">G693</f>
        <v>9373.6224769230776</v>
      </c>
      <c r="H702" s="779">
        <f t="shared" si="1098"/>
        <v>7632.2919999999995</v>
      </c>
      <c r="I702" s="779">
        <f t="shared" si="1098"/>
        <v>8315.1034500000005</v>
      </c>
      <c r="J702" s="779">
        <f t="shared" si="1098"/>
        <v>19126.92726</v>
      </c>
      <c r="K702" s="776">
        <f t="shared" ref="K702:K704" si="1099">SUM(E702:J702)</f>
        <v>1839307.2366869231</v>
      </c>
      <c r="L702" s="776">
        <f t="shared" ref="L702:L704" si="1100">K702*15%</f>
        <v>275896.08550303843</v>
      </c>
      <c r="M702" s="776">
        <f t="shared" ref="M702:M704" si="1101">K702+L702</f>
        <v>2115203.3221899616</v>
      </c>
      <c r="N702" s="776">
        <f t="shared" ref="N702:N704" si="1102">K702-I702</f>
        <v>1830992.133236923</v>
      </c>
      <c r="O702" s="776">
        <f t="shared" ref="O702:O704" si="1103">$L$6*N702</f>
        <v>274648.81998553843</v>
      </c>
      <c r="P702" s="776">
        <f t="shared" ref="P702:P704" si="1104">N702+O702</f>
        <v>2105640.9532224615</v>
      </c>
      <c r="Q702" s="779">
        <f>Q698</f>
        <v>50925.396923076929</v>
      </c>
    </row>
    <row r="703" spans="1:17" s="780" customFormat="1">
      <c r="A703" s="811" t="s">
        <v>767</v>
      </c>
      <c r="B703" s="810" t="s">
        <v>769</v>
      </c>
      <c r="C703" s="804" t="s">
        <v>51</v>
      </c>
      <c r="D703" s="801" t="s">
        <v>31</v>
      </c>
      <c r="E703" s="779">
        <f t="shared" ref="E703:E704" si="1105">E699</f>
        <v>1780629.3697500003</v>
      </c>
      <c r="F703" s="779"/>
      <c r="G703" s="779">
        <f t="shared" si="1098"/>
        <v>9373.6224769230776</v>
      </c>
      <c r="H703" s="779">
        <f t="shared" si="1098"/>
        <v>7632.2919999999995</v>
      </c>
      <c r="I703" s="779">
        <f t="shared" si="1098"/>
        <v>8315.1034500000005</v>
      </c>
      <c r="J703" s="779">
        <f t="shared" si="1098"/>
        <v>19126.92726</v>
      </c>
      <c r="K703" s="776">
        <f t="shared" si="1099"/>
        <v>1825077.3149369233</v>
      </c>
      <c r="L703" s="776">
        <f t="shared" si="1100"/>
        <v>273761.59724053851</v>
      </c>
      <c r="M703" s="776">
        <f t="shared" si="1101"/>
        <v>2098838.9121774617</v>
      </c>
      <c r="N703" s="776">
        <f t="shared" si="1102"/>
        <v>1816762.2114869233</v>
      </c>
      <c r="O703" s="776">
        <f t="shared" si="1103"/>
        <v>272514.33172303846</v>
      </c>
      <c r="P703" s="776">
        <f t="shared" si="1104"/>
        <v>2089276.5432099616</v>
      </c>
      <c r="Q703" s="779">
        <f t="shared" ref="Q703:Q704" si="1106">Q699</f>
        <v>50547.745769230773</v>
      </c>
    </row>
    <row r="704" spans="1:17" s="780" customFormat="1">
      <c r="A704" s="811" t="s">
        <v>767</v>
      </c>
      <c r="B704" s="810" t="s">
        <v>770</v>
      </c>
      <c r="C704" s="804" t="s">
        <v>51</v>
      </c>
      <c r="D704" s="801" t="s">
        <v>31</v>
      </c>
      <c r="E704" s="779">
        <f t="shared" si="1105"/>
        <v>2308236.0757500003</v>
      </c>
      <c r="F704" s="779"/>
      <c r="G704" s="779">
        <f t="shared" si="1098"/>
        <v>12185.709220000001</v>
      </c>
      <c r="H704" s="779">
        <f t="shared" si="1098"/>
        <v>7632.2919999999995</v>
      </c>
      <c r="I704" s="779">
        <f t="shared" si="1098"/>
        <v>10809.634485</v>
      </c>
      <c r="J704" s="779">
        <f t="shared" si="1098"/>
        <v>24865.005438</v>
      </c>
      <c r="K704" s="776">
        <f t="shared" si="1099"/>
        <v>2363728.7168930001</v>
      </c>
      <c r="L704" s="776">
        <f t="shared" si="1100"/>
        <v>354559.30753395002</v>
      </c>
      <c r="M704" s="776">
        <f t="shared" si="1101"/>
        <v>2718288.0244269501</v>
      </c>
      <c r="N704" s="776">
        <f t="shared" si="1102"/>
        <v>2352919.0824080002</v>
      </c>
      <c r="O704" s="776">
        <f t="shared" si="1103"/>
        <v>352937.86236120004</v>
      </c>
      <c r="P704" s="776">
        <f t="shared" si="1104"/>
        <v>2705856.9447692004</v>
      </c>
      <c r="Q704" s="779">
        <f t="shared" si="1106"/>
        <v>65491.385384615387</v>
      </c>
    </row>
    <row r="705" spans="1:17" s="780" customFormat="1" ht="14">
      <c r="A705" s="771">
        <v>23</v>
      </c>
      <c r="B705" s="808" t="s">
        <v>280</v>
      </c>
      <c r="C705" s="771" t="s">
        <v>51</v>
      </c>
      <c r="D705" s="771" t="s">
        <v>31</v>
      </c>
      <c r="E705" s="779"/>
      <c r="F705" s="779"/>
      <c r="G705" s="779"/>
      <c r="H705" s="779"/>
      <c r="I705" s="779"/>
      <c r="J705" s="779"/>
      <c r="K705" s="779"/>
      <c r="L705" s="779"/>
      <c r="M705" s="779"/>
      <c r="N705" s="779"/>
      <c r="O705" s="779"/>
      <c r="P705" s="779"/>
      <c r="Q705" s="779"/>
    </row>
    <row r="706" spans="1:17" s="780" customFormat="1">
      <c r="A706" s="771">
        <v>23.1</v>
      </c>
      <c r="B706" s="808" t="s">
        <v>771</v>
      </c>
      <c r="C706" s="804" t="s">
        <v>51</v>
      </c>
      <c r="D706" s="801" t="s">
        <v>31</v>
      </c>
      <c r="E706" s="779"/>
      <c r="F706" s="779"/>
      <c r="G706" s="779"/>
      <c r="H706" s="779"/>
      <c r="I706" s="779"/>
      <c r="J706" s="779"/>
      <c r="K706" s="779"/>
      <c r="L706" s="779"/>
      <c r="M706" s="779"/>
      <c r="N706" s="779"/>
      <c r="O706" s="779"/>
      <c r="P706" s="779"/>
      <c r="Q706" s="779"/>
    </row>
    <row r="707" spans="1:17" s="780" customFormat="1">
      <c r="A707" s="811" t="s">
        <v>767</v>
      </c>
      <c r="B707" s="810" t="s">
        <v>768</v>
      </c>
      <c r="C707" s="804" t="s">
        <v>51</v>
      </c>
      <c r="D707" s="801" t="s">
        <v>31</v>
      </c>
      <c r="E707" s="779">
        <f>NCong!M616</f>
        <v>1778996.1915000002</v>
      </c>
      <c r="F707" s="779"/>
      <c r="G707" s="779">
        <f>G698</f>
        <v>15622.70412820513</v>
      </c>
      <c r="H707" s="779">
        <f t="shared" ref="H707:J707" si="1107">H698</f>
        <v>27173.82</v>
      </c>
      <c r="I707" s="779">
        <f t="shared" si="1107"/>
        <v>13858.50575</v>
      </c>
      <c r="J707" s="779">
        <f t="shared" si="1107"/>
        <v>31878.212100000001</v>
      </c>
      <c r="K707" s="776">
        <f t="shared" ref="K707:K713" si="1108">SUM(E707:J707)</f>
        <v>1867529.4334782052</v>
      </c>
      <c r="L707" s="776">
        <f t="shared" ref="L707:L713" si="1109">K707*15%</f>
        <v>280129.41502173076</v>
      </c>
      <c r="M707" s="776">
        <f t="shared" ref="M707:M713" si="1110">K707+L707</f>
        <v>2147658.8484999361</v>
      </c>
      <c r="N707" s="776">
        <f t="shared" ref="N707:N713" si="1111">K707-I707</f>
        <v>1853670.9277282052</v>
      </c>
      <c r="O707" s="776">
        <f t="shared" ref="O707:O713" si="1112">$L$6*N707</f>
        <v>278050.63915923075</v>
      </c>
      <c r="P707" s="776">
        <f t="shared" ref="P707:P713" si="1113">N707+O707</f>
        <v>2131721.566887436</v>
      </c>
      <c r="Q707" s="779">
        <f>NCong!P616</f>
        <v>50497.243076923078</v>
      </c>
    </row>
    <row r="708" spans="1:17" s="780" customFormat="1">
      <c r="A708" s="811" t="s">
        <v>767</v>
      </c>
      <c r="B708" s="810" t="s">
        <v>769</v>
      </c>
      <c r="C708" s="804" t="s">
        <v>51</v>
      </c>
      <c r="D708" s="801" t="s">
        <v>31</v>
      </c>
      <c r="E708" s="779">
        <f>NCong!N616</f>
        <v>1771435.9822500004</v>
      </c>
      <c r="F708" s="779"/>
      <c r="G708" s="779">
        <f t="shared" ref="G708:J709" si="1114">G699</f>
        <v>15622.70412820513</v>
      </c>
      <c r="H708" s="779">
        <f t="shared" si="1114"/>
        <v>27173.82</v>
      </c>
      <c r="I708" s="779">
        <f t="shared" si="1114"/>
        <v>13858.50575</v>
      </c>
      <c r="J708" s="779">
        <f t="shared" si="1114"/>
        <v>31878.212100000001</v>
      </c>
      <c r="K708" s="776">
        <f t="shared" si="1108"/>
        <v>1859969.2242282054</v>
      </c>
      <c r="L708" s="776">
        <f t="shared" si="1109"/>
        <v>278995.38363423082</v>
      </c>
      <c r="M708" s="776">
        <f t="shared" si="1110"/>
        <v>2138964.6078624362</v>
      </c>
      <c r="N708" s="776">
        <f t="shared" si="1111"/>
        <v>1846110.7184782054</v>
      </c>
      <c r="O708" s="776">
        <f t="shared" si="1112"/>
        <v>276916.60777173081</v>
      </c>
      <c r="P708" s="776">
        <f t="shared" si="1113"/>
        <v>2123027.3262499361</v>
      </c>
      <c r="Q708" s="779">
        <f>NCong!Q616</f>
        <v>50299.611153846156</v>
      </c>
    </row>
    <row r="709" spans="1:17" s="780" customFormat="1">
      <c r="A709" s="811" t="s">
        <v>767</v>
      </c>
      <c r="B709" s="810" t="s">
        <v>770</v>
      </c>
      <c r="C709" s="804" t="s">
        <v>51</v>
      </c>
      <c r="D709" s="801" t="s">
        <v>31</v>
      </c>
      <c r="E709" s="779">
        <f>NCong!O616</f>
        <v>2286965.1007500002</v>
      </c>
      <c r="F709" s="779"/>
      <c r="G709" s="779">
        <f t="shared" si="1114"/>
        <v>20309.51536666667</v>
      </c>
      <c r="H709" s="779">
        <f t="shared" si="1114"/>
        <v>27173.82</v>
      </c>
      <c r="I709" s="779">
        <f t="shared" si="1114"/>
        <v>18016.057475000001</v>
      </c>
      <c r="J709" s="779">
        <f t="shared" si="1114"/>
        <v>41441.675730000003</v>
      </c>
      <c r="K709" s="776">
        <f t="shared" si="1108"/>
        <v>2393906.1693216665</v>
      </c>
      <c r="L709" s="776">
        <f t="shared" si="1109"/>
        <v>359085.92539824994</v>
      </c>
      <c r="M709" s="776">
        <f t="shared" si="1110"/>
        <v>2752992.0947199166</v>
      </c>
      <c r="N709" s="776">
        <f t="shared" si="1111"/>
        <v>2375890.1118466663</v>
      </c>
      <c r="O709" s="776">
        <f t="shared" si="1112"/>
        <v>356383.51677699992</v>
      </c>
      <c r="P709" s="776">
        <f t="shared" si="1113"/>
        <v>2732273.6286236662</v>
      </c>
      <c r="Q709" s="779">
        <f>NCong!R616</f>
        <v>64917.270000000004</v>
      </c>
    </row>
    <row r="710" spans="1:17" s="780" customFormat="1">
      <c r="A710" s="771">
        <v>23.2</v>
      </c>
      <c r="B710" s="808" t="s">
        <v>772</v>
      </c>
      <c r="C710" s="804" t="s">
        <v>51</v>
      </c>
      <c r="D710" s="801" t="s">
        <v>31</v>
      </c>
      <c r="E710" s="779"/>
      <c r="F710" s="779"/>
      <c r="G710" s="779"/>
      <c r="H710" s="779"/>
      <c r="I710" s="779"/>
      <c r="J710" s="779"/>
      <c r="K710" s="776"/>
      <c r="L710" s="776"/>
      <c r="M710" s="776"/>
      <c r="N710" s="776"/>
      <c r="O710" s="776"/>
      <c r="P710" s="776"/>
      <c r="Q710" s="779"/>
    </row>
    <row r="711" spans="1:17" s="780" customFormat="1">
      <c r="A711" s="811" t="s">
        <v>767</v>
      </c>
      <c r="B711" s="810" t="s">
        <v>768</v>
      </c>
      <c r="C711" s="804" t="s">
        <v>51</v>
      </c>
      <c r="D711" s="801" t="s">
        <v>31</v>
      </c>
      <c r="E711" s="779">
        <f>E707</f>
        <v>1778996.1915000002</v>
      </c>
      <c r="F711" s="779"/>
      <c r="G711" s="779">
        <f t="shared" ref="G711:J713" si="1115">G702</f>
        <v>9373.6224769230776</v>
      </c>
      <c r="H711" s="779">
        <f t="shared" si="1115"/>
        <v>7632.2919999999995</v>
      </c>
      <c r="I711" s="779">
        <f t="shared" si="1115"/>
        <v>8315.1034500000005</v>
      </c>
      <c r="J711" s="779">
        <f t="shared" si="1115"/>
        <v>19126.92726</v>
      </c>
      <c r="K711" s="776">
        <f t="shared" si="1108"/>
        <v>1823444.1366869232</v>
      </c>
      <c r="L711" s="776">
        <f t="shared" si="1109"/>
        <v>273516.62050303846</v>
      </c>
      <c r="M711" s="776">
        <f t="shared" si="1110"/>
        <v>2096960.7571899616</v>
      </c>
      <c r="N711" s="776">
        <f t="shared" si="1111"/>
        <v>1815129.0332369232</v>
      </c>
      <c r="O711" s="776">
        <f t="shared" si="1112"/>
        <v>272269.35498553846</v>
      </c>
      <c r="P711" s="776">
        <f t="shared" si="1113"/>
        <v>2087398.3882224616</v>
      </c>
      <c r="Q711" s="779">
        <f>Q707</f>
        <v>50497.243076923078</v>
      </c>
    </row>
    <row r="712" spans="1:17" s="780" customFormat="1">
      <c r="A712" s="811" t="s">
        <v>767</v>
      </c>
      <c r="B712" s="810" t="s">
        <v>769</v>
      </c>
      <c r="C712" s="804" t="s">
        <v>51</v>
      </c>
      <c r="D712" s="801" t="s">
        <v>31</v>
      </c>
      <c r="E712" s="779">
        <f t="shared" ref="E712:E713" si="1116">E708</f>
        <v>1771435.9822500004</v>
      </c>
      <c r="F712" s="779"/>
      <c r="G712" s="779">
        <f t="shared" si="1115"/>
        <v>9373.6224769230776</v>
      </c>
      <c r="H712" s="779">
        <f t="shared" si="1115"/>
        <v>7632.2919999999995</v>
      </c>
      <c r="I712" s="779">
        <f t="shared" si="1115"/>
        <v>8315.1034500000005</v>
      </c>
      <c r="J712" s="779">
        <f t="shared" si="1115"/>
        <v>19126.92726</v>
      </c>
      <c r="K712" s="776">
        <f t="shared" si="1108"/>
        <v>1815883.9274369234</v>
      </c>
      <c r="L712" s="776">
        <f t="shared" si="1109"/>
        <v>272382.58911553852</v>
      </c>
      <c r="M712" s="776">
        <f t="shared" si="1110"/>
        <v>2088266.5165524618</v>
      </c>
      <c r="N712" s="776">
        <f t="shared" si="1111"/>
        <v>1807568.8239869233</v>
      </c>
      <c r="O712" s="776">
        <f t="shared" si="1112"/>
        <v>271135.32359803846</v>
      </c>
      <c r="P712" s="776">
        <f t="shared" si="1113"/>
        <v>2078704.1475849617</v>
      </c>
      <c r="Q712" s="779">
        <f t="shared" ref="Q712:Q713" si="1117">Q708</f>
        <v>50299.611153846156</v>
      </c>
    </row>
    <row r="713" spans="1:17" s="780" customFormat="1">
      <c r="A713" s="811" t="s">
        <v>767</v>
      </c>
      <c r="B713" s="810" t="s">
        <v>770</v>
      </c>
      <c r="C713" s="804" t="s">
        <v>51</v>
      </c>
      <c r="D713" s="801" t="s">
        <v>31</v>
      </c>
      <c r="E713" s="779">
        <f t="shared" si="1116"/>
        <v>2286965.1007500002</v>
      </c>
      <c r="F713" s="779"/>
      <c r="G713" s="779">
        <f t="shared" si="1115"/>
        <v>12185.709220000001</v>
      </c>
      <c r="H713" s="779">
        <f t="shared" si="1115"/>
        <v>7632.2919999999995</v>
      </c>
      <c r="I713" s="779">
        <f t="shared" si="1115"/>
        <v>10809.634485</v>
      </c>
      <c r="J713" s="779">
        <f t="shared" si="1115"/>
        <v>24865.005438</v>
      </c>
      <c r="K713" s="776">
        <f t="shared" si="1108"/>
        <v>2342457.741893</v>
      </c>
      <c r="L713" s="776">
        <f t="shared" si="1109"/>
        <v>351368.66128394997</v>
      </c>
      <c r="M713" s="776">
        <f t="shared" si="1110"/>
        <v>2693826.4031769498</v>
      </c>
      <c r="N713" s="776">
        <f t="shared" si="1111"/>
        <v>2331648.1074080002</v>
      </c>
      <c r="O713" s="776">
        <f t="shared" si="1112"/>
        <v>349747.21611119999</v>
      </c>
      <c r="P713" s="776">
        <f t="shared" si="1113"/>
        <v>2681395.3235192001</v>
      </c>
      <c r="Q713" s="779">
        <f t="shared" si="1117"/>
        <v>64917.270000000004</v>
      </c>
    </row>
    <row r="714" spans="1:17" s="780" customFormat="1" ht="14">
      <c r="A714" s="771">
        <v>24</v>
      </c>
      <c r="B714" s="808" t="s">
        <v>282</v>
      </c>
      <c r="C714" s="771" t="s">
        <v>51</v>
      </c>
      <c r="D714" s="771" t="s">
        <v>31</v>
      </c>
      <c r="E714" s="779"/>
      <c r="F714" s="779"/>
      <c r="G714" s="779"/>
      <c r="H714" s="779"/>
      <c r="I714" s="779"/>
      <c r="J714" s="779"/>
      <c r="K714" s="779"/>
      <c r="L714" s="779"/>
      <c r="M714" s="779"/>
      <c r="N714" s="779"/>
      <c r="O714" s="779"/>
      <c r="P714" s="779"/>
      <c r="Q714" s="779"/>
    </row>
    <row r="715" spans="1:17" s="780" customFormat="1">
      <c r="A715" s="771">
        <v>24.1</v>
      </c>
      <c r="B715" s="808" t="s">
        <v>771</v>
      </c>
      <c r="C715" s="804" t="s">
        <v>51</v>
      </c>
      <c r="D715" s="801" t="s">
        <v>31</v>
      </c>
      <c r="E715" s="779"/>
      <c r="F715" s="779"/>
      <c r="G715" s="779"/>
      <c r="H715" s="779"/>
      <c r="I715" s="779"/>
      <c r="J715" s="779"/>
      <c r="K715" s="779"/>
      <c r="L715" s="779"/>
      <c r="M715" s="779"/>
      <c r="N715" s="779"/>
      <c r="O715" s="779"/>
      <c r="P715" s="779"/>
      <c r="Q715" s="779"/>
    </row>
    <row r="716" spans="1:17" s="780" customFormat="1">
      <c r="A716" s="811" t="s">
        <v>767</v>
      </c>
      <c r="B716" s="810" t="s">
        <v>768</v>
      </c>
      <c r="C716" s="804" t="s">
        <v>51</v>
      </c>
      <c r="D716" s="801" t="s">
        <v>31</v>
      </c>
      <c r="E716" s="779">
        <f>NCong!M617</f>
        <v>1756441.7475000001</v>
      </c>
      <c r="F716" s="779"/>
      <c r="G716" s="779">
        <f>G707</f>
        <v>15622.70412820513</v>
      </c>
      <c r="H716" s="779">
        <f t="shared" ref="H716:J716" si="1118">H707</f>
        <v>27173.82</v>
      </c>
      <c r="I716" s="779">
        <f t="shared" si="1118"/>
        <v>13858.50575</v>
      </c>
      <c r="J716" s="779">
        <f t="shared" si="1118"/>
        <v>31878.212100000001</v>
      </c>
      <c r="K716" s="776">
        <f t="shared" ref="K716:K718" si="1119">SUM(E716:J716)</f>
        <v>1844974.9894782051</v>
      </c>
      <c r="L716" s="776">
        <f t="shared" ref="L716:L718" si="1120">K716*15%</f>
        <v>276746.24842173076</v>
      </c>
      <c r="M716" s="776">
        <f t="shared" ref="M716:M718" si="1121">K716+L716</f>
        <v>2121721.2378999358</v>
      </c>
      <c r="N716" s="776">
        <f t="shared" ref="N716:N718" si="1122">K716-I716</f>
        <v>1831116.4837282051</v>
      </c>
      <c r="O716" s="776">
        <f t="shared" ref="O716:O718" si="1123">$L$6*N716</f>
        <v>274667.47255923075</v>
      </c>
      <c r="P716" s="776">
        <f t="shared" ref="P716:P718" si="1124">N716+O716</f>
        <v>2105783.9562874357</v>
      </c>
      <c r="Q716" s="779">
        <f>NCong!P617</f>
        <v>49888.486153846156</v>
      </c>
    </row>
    <row r="717" spans="1:17" s="780" customFormat="1">
      <c r="A717" s="811" t="s">
        <v>767</v>
      </c>
      <c r="B717" s="810" t="s">
        <v>769</v>
      </c>
      <c r="C717" s="804" t="s">
        <v>51</v>
      </c>
      <c r="D717" s="801" t="s">
        <v>31</v>
      </c>
      <c r="E717" s="779">
        <f>NCong!N617</f>
        <v>1753817.1255000003</v>
      </c>
      <c r="F717" s="779"/>
      <c r="G717" s="779">
        <f t="shared" ref="G717:J718" si="1125">G708</f>
        <v>15622.70412820513</v>
      </c>
      <c r="H717" s="779">
        <f t="shared" si="1125"/>
        <v>27173.82</v>
      </c>
      <c r="I717" s="779">
        <f t="shared" si="1125"/>
        <v>13858.50575</v>
      </c>
      <c r="J717" s="779">
        <f t="shared" si="1125"/>
        <v>31878.212100000001</v>
      </c>
      <c r="K717" s="776">
        <f t="shared" si="1119"/>
        <v>1842350.3674782054</v>
      </c>
      <c r="L717" s="776">
        <f t="shared" si="1120"/>
        <v>276352.55512173078</v>
      </c>
      <c r="M717" s="776">
        <f t="shared" si="1121"/>
        <v>2118702.9225999359</v>
      </c>
      <c r="N717" s="776">
        <f t="shared" si="1122"/>
        <v>1828491.8617282053</v>
      </c>
      <c r="O717" s="776">
        <f t="shared" si="1123"/>
        <v>274273.77925923077</v>
      </c>
      <c r="P717" s="776">
        <f t="shared" si="1124"/>
        <v>2102765.6409874363</v>
      </c>
      <c r="Q717" s="779">
        <f>NCong!Q617</f>
        <v>49824.06846153846</v>
      </c>
    </row>
    <row r="718" spans="1:17" s="780" customFormat="1">
      <c r="A718" s="811" t="s">
        <v>767</v>
      </c>
      <c r="B718" s="810" t="s">
        <v>770</v>
      </c>
      <c r="C718" s="804" t="s">
        <v>51</v>
      </c>
      <c r="D718" s="801" t="s">
        <v>31</v>
      </c>
      <c r="E718" s="779">
        <f>NCong!O617</f>
        <v>2260408.8292500004</v>
      </c>
      <c r="F718" s="779"/>
      <c r="G718" s="779">
        <f t="shared" si="1125"/>
        <v>20309.51536666667</v>
      </c>
      <c r="H718" s="779">
        <f t="shared" si="1125"/>
        <v>27173.82</v>
      </c>
      <c r="I718" s="779">
        <f t="shared" si="1125"/>
        <v>18016.057475000001</v>
      </c>
      <c r="J718" s="779">
        <f t="shared" si="1125"/>
        <v>41441.675730000003</v>
      </c>
      <c r="K718" s="776">
        <f t="shared" si="1119"/>
        <v>2367349.8978216667</v>
      </c>
      <c r="L718" s="776">
        <f t="shared" si="1120"/>
        <v>355102.48467325</v>
      </c>
      <c r="M718" s="776">
        <f t="shared" si="1121"/>
        <v>2722452.3824949167</v>
      </c>
      <c r="N718" s="776">
        <f t="shared" si="1122"/>
        <v>2349333.8403466665</v>
      </c>
      <c r="O718" s="776">
        <f t="shared" si="1123"/>
        <v>352400.07605199999</v>
      </c>
      <c r="P718" s="776">
        <f t="shared" si="1124"/>
        <v>2701733.9163986663</v>
      </c>
      <c r="Q718" s="779">
        <f>NCong!R617</f>
        <v>64200.50153846154</v>
      </c>
    </row>
    <row r="719" spans="1:17" s="780" customFormat="1">
      <c r="A719" s="771">
        <v>24.2</v>
      </c>
      <c r="B719" s="808" t="s">
        <v>772</v>
      </c>
      <c r="C719" s="804" t="s">
        <v>51</v>
      </c>
      <c r="D719" s="801" t="s">
        <v>31</v>
      </c>
      <c r="E719" s="779"/>
      <c r="F719" s="779"/>
      <c r="G719" s="779"/>
      <c r="H719" s="779"/>
      <c r="I719" s="779"/>
      <c r="J719" s="779"/>
      <c r="K719" s="779"/>
      <c r="L719" s="779"/>
      <c r="M719" s="779"/>
      <c r="N719" s="779"/>
      <c r="O719" s="779"/>
      <c r="P719" s="779"/>
      <c r="Q719" s="779"/>
    </row>
    <row r="720" spans="1:17" s="780" customFormat="1">
      <c r="A720" s="811" t="s">
        <v>767</v>
      </c>
      <c r="B720" s="810" t="s">
        <v>768</v>
      </c>
      <c r="C720" s="804" t="s">
        <v>51</v>
      </c>
      <c r="D720" s="801" t="s">
        <v>31</v>
      </c>
      <c r="E720" s="779">
        <f>E716</f>
        <v>1756441.7475000001</v>
      </c>
      <c r="F720" s="779"/>
      <c r="G720" s="779">
        <f t="shared" ref="G720:J722" si="1126">G711</f>
        <v>9373.6224769230776</v>
      </c>
      <c r="H720" s="779">
        <f t="shared" si="1126"/>
        <v>7632.2919999999995</v>
      </c>
      <c r="I720" s="779">
        <f t="shared" si="1126"/>
        <v>8315.1034500000005</v>
      </c>
      <c r="J720" s="779">
        <f t="shared" si="1126"/>
        <v>19126.92726</v>
      </c>
      <c r="K720" s="776">
        <f t="shared" ref="K720:K722" si="1127">SUM(E720:J720)</f>
        <v>1800889.6926869231</v>
      </c>
      <c r="L720" s="776">
        <f t="shared" ref="L720:L722" si="1128">K720*15%</f>
        <v>270133.45390303846</v>
      </c>
      <c r="M720" s="776">
        <f t="shared" ref="M720:M722" si="1129">K720+L720</f>
        <v>2071023.1465899616</v>
      </c>
      <c r="N720" s="776">
        <f t="shared" ref="N720:N722" si="1130">K720-I720</f>
        <v>1792574.589236923</v>
      </c>
      <c r="O720" s="776">
        <f t="shared" ref="O720:O722" si="1131">$L$6*N720</f>
        <v>268886.18838553847</v>
      </c>
      <c r="P720" s="776">
        <f t="shared" ref="P720:P722" si="1132">N720+O720</f>
        <v>2061460.7776224616</v>
      </c>
      <c r="Q720" s="779">
        <f>Q716</f>
        <v>49888.486153846156</v>
      </c>
    </row>
    <row r="721" spans="1:17" s="780" customFormat="1">
      <c r="A721" s="811" t="s">
        <v>767</v>
      </c>
      <c r="B721" s="810" t="s">
        <v>769</v>
      </c>
      <c r="C721" s="804" t="s">
        <v>51</v>
      </c>
      <c r="D721" s="801" t="s">
        <v>31</v>
      </c>
      <c r="E721" s="779">
        <f t="shared" ref="E721:E722" si="1133">E717</f>
        <v>1753817.1255000003</v>
      </c>
      <c r="F721" s="779"/>
      <c r="G721" s="779">
        <f t="shared" si="1126"/>
        <v>9373.6224769230776</v>
      </c>
      <c r="H721" s="779">
        <f t="shared" si="1126"/>
        <v>7632.2919999999995</v>
      </c>
      <c r="I721" s="779">
        <f t="shared" si="1126"/>
        <v>8315.1034500000005</v>
      </c>
      <c r="J721" s="779">
        <f t="shared" si="1126"/>
        <v>19126.92726</v>
      </c>
      <c r="K721" s="776">
        <f t="shared" si="1127"/>
        <v>1798265.0706869233</v>
      </c>
      <c r="L721" s="776">
        <f t="shared" si="1128"/>
        <v>269739.76060303848</v>
      </c>
      <c r="M721" s="776">
        <f t="shared" si="1129"/>
        <v>2068004.8312899619</v>
      </c>
      <c r="N721" s="776">
        <f t="shared" si="1130"/>
        <v>1789949.9672369233</v>
      </c>
      <c r="O721" s="776">
        <f t="shared" si="1131"/>
        <v>268492.49508553848</v>
      </c>
      <c r="P721" s="776">
        <f t="shared" si="1132"/>
        <v>2058442.4623224619</v>
      </c>
      <c r="Q721" s="779">
        <f t="shared" ref="Q721:Q722" si="1134">Q717</f>
        <v>49824.06846153846</v>
      </c>
    </row>
    <row r="722" spans="1:17" s="780" customFormat="1">
      <c r="A722" s="811" t="s">
        <v>767</v>
      </c>
      <c r="B722" s="810" t="s">
        <v>770</v>
      </c>
      <c r="C722" s="804" t="s">
        <v>51</v>
      </c>
      <c r="D722" s="801" t="s">
        <v>31</v>
      </c>
      <c r="E722" s="779">
        <f t="shared" si="1133"/>
        <v>2260408.8292500004</v>
      </c>
      <c r="F722" s="779"/>
      <c r="G722" s="779">
        <f t="shared" si="1126"/>
        <v>12185.709220000001</v>
      </c>
      <c r="H722" s="779">
        <f t="shared" si="1126"/>
        <v>7632.2919999999995</v>
      </c>
      <c r="I722" s="779">
        <f t="shared" si="1126"/>
        <v>10809.634485</v>
      </c>
      <c r="J722" s="779">
        <f t="shared" si="1126"/>
        <v>24865.005438</v>
      </c>
      <c r="K722" s="776">
        <f t="shared" si="1127"/>
        <v>2315901.4703930002</v>
      </c>
      <c r="L722" s="776">
        <f t="shared" si="1128"/>
        <v>347385.22055895004</v>
      </c>
      <c r="M722" s="776">
        <f t="shared" si="1129"/>
        <v>2663286.6909519504</v>
      </c>
      <c r="N722" s="776">
        <f t="shared" si="1130"/>
        <v>2305091.8359080004</v>
      </c>
      <c r="O722" s="776">
        <f t="shared" si="1131"/>
        <v>345763.77538620005</v>
      </c>
      <c r="P722" s="776">
        <f t="shared" si="1132"/>
        <v>2650855.6112942006</v>
      </c>
      <c r="Q722" s="779">
        <f t="shared" si="1134"/>
        <v>64200.50153846154</v>
      </c>
    </row>
    <row r="723" spans="1:17" s="780" customFormat="1">
      <c r="A723" s="771">
        <v>25</v>
      </c>
      <c r="B723" s="808" t="s">
        <v>284</v>
      </c>
      <c r="C723" s="771" t="s">
        <v>51</v>
      </c>
      <c r="D723" s="771" t="s">
        <v>31</v>
      </c>
      <c r="E723" s="779"/>
      <c r="F723" s="779"/>
      <c r="G723" s="779"/>
      <c r="H723" s="779"/>
      <c r="I723" s="779"/>
      <c r="J723" s="779"/>
      <c r="K723" s="779"/>
      <c r="L723" s="779"/>
      <c r="M723" s="779"/>
      <c r="N723" s="779"/>
      <c r="O723" s="779"/>
      <c r="P723" s="779"/>
      <c r="Q723" s="779"/>
    </row>
    <row r="724" spans="1:17" s="780" customFormat="1">
      <c r="A724" s="771">
        <v>25.1</v>
      </c>
      <c r="B724" s="808" t="s">
        <v>771</v>
      </c>
      <c r="C724" s="804" t="s">
        <v>51</v>
      </c>
      <c r="D724" s="801" t="s">
        <v>31</v>
      </c>
      <c r="E724" s="779"/>
      <c r="F724" s="779"/>
      <c r="G724" s="779"/>
      <c r="H724" s="779"/>
      <c r="I724" s="779"/>
      <c r="J724" s="779"/>
      <c r="K724" s="779"/>
      <c r="L724" s="779"/>
      <c r="M724" s="779"/>
      <c r="N724" s="779"/>
      <c r="O724" s="779"/>
      <c r="P724" s="779"/>
      <c r="Q724" s="779"/>
    </row>
    <row r="725" spans="1:17" s="780" customFormat="1">
      <c r="A725" s="811" t="s">
        <v>767</v>
      </c>
      <c r="B725" s="810" t="s">
        <v>768</v>
      </c>
      <c r="C725" s="804" t="s">
        <v>51</v>
      </c>
      <c r="D725" s="801" t="s">
        <v>31</v>
      </c>
      <c r="E725" s="779">
        <f>E729</f>
        <v>416616.92159999989</v>
      </c>
      <c r="F725" s="779"/>
      <c r="G725" s="779">
        <f>G716</f>
        <v>15622.70412820513</v>
      </c>
      <c r="H725" s="779">
        <f t="shared" ref="H725:J725" si="1135">H716</f>
        <v>27173.82</v>
      </c>
      <c r="I725" s="779">
        <f t="shared" si="1135"/>
        <v>13858.50575</v>
      </c>
      <c r="J725" s="779">
        <f t="shared" si="1135"/>
        <v>31878.212100000001</v>
      </c>
      <c r="K725" s="776">
        <f t="shared" ref="K725:K727" si="1136">SUM(E725:J725)</f>
        <v>505150.16357820504</v>
      </c>
      <c r="L725" s="776">
        <f t="shared" ref="L725:L727" si="1137">K725*15%</f>
        <v>75772.524536730751</v>
      </c>
      <c r="M725" s="776">
        <f t="shared" ref="M725:M727" si="1138">K725+L725</f>
        <v>580922.68811493577</v>
      </c>
      <c r="N725" s="776">
        <f t="shared" ref="N725:N727" si="1139">K725-I725</f>
        <v>491291.65782820503</v>
      </c>
      <c r="O725" s="776">
        <f t="shared" ref="O725:O727" si="1140">$L$6*N725</f>
        <v>73693.748674230752</v>
      </c>
      <c r="P725" s="776">
        <f t="shared" ref="P725:P727" si="1141">N725+O725</f>
        <v>564985.4065024358</v>
      </c>
      <c r="Q725" s="779">
        <f>NCong!P618</f>
        <v>11638.622769230766</v>
      </c>
    </row>
    <row r="726" spans="1:17" s="780" customFormat="1">
      <c r="A726" s="811" t="s">
        <v>767</v>
      </c>
      <c r="B726" s="810" t="s">
        <v>769</v>
      </c>
      <c r="C726" s="804" t="s">
        <v>51</v>
      </c>
      <c r="D726" s="801" t="s">
        <v>31</v>
      </c>
      <c r="E726" s="779">
        <f t="shared" ref="E726:E727" si="1142">E730</f>
        <v>395040.94244999991</v>
      </c>
      <c r="F726" s="779"/>
      <c r="G726" s="779">
        <f t="shared" ref="G726:J727" si="1143">G717</f>
        <v>15622.70412820513</v>
      </c>
      <c r="H726" s="779">
        <f t="shared" si="1143"/>
        <v>27173.82</v>
      </c>
      <c r="I726" s="779">
        <f t="shared" si="1143"/>
        <v>13858.50575</v>
      </c>
      <c r="J726" s="779">
        <f t="shared" si="1143"/>
        <v>31878.212100000001</v>
      </c>
      <c r="K726" s="776">
        <f t="shared" si="1136"/>
        <v>483574.18442820507</v>
      </c>
      <c r="L726" s="776">
        <f t="shared" si="1137"/>
        <v>72536.127664230764</v>
      </c>
      <c r="M726" s="776">
        <f t="shared" si="1138"/>
        <v>556110.31209243578</v>
      </c>
      <c r="N726" s="776">
        <f t="shared" si="1139"/>
        <v>469715.67867820506</v>
      </c>
      <c r="O726" s="776">
        <f t="shared" si="1140"/>
        <v>70457.351801730751</v>
      </c>
      <c r="P726" s="776">
        <f t="shared" si="1141"/>
        <v>540173.03047993581</v>
      </c>
      <c r="Q726" s="779">
        <f>NCong!Q618</f>
        <v>11009.17823076923</v>
      </c>
    </row>
    <row r="727" spans="1:17" s="780" customFormat="1">
      <c r="A727" s="811" t="s">
        <v>767</v>
      </c>
      <c r="B727" s="810" t="s">
        <v>770</v>
      </c>
      <c r="C727" s="804" t="s">
        <v>51</v>
      </c>
      <c r="D727" s="801" t="s">
        <v>31</v>
      </c>
      <c r="E727" s="779">
        <f t="shared" si="1142"/>
        <v>514106.48684999993</v>
      </c>
      <c r="F727" s="779"/>
      <c r="G727" s="779">
        <f t="shared" si="1143"/>
        <v>20309.51536666667</v>
      </c>
      <c r="H727" s="779">
        <f t="shared" si="1143"/>
        <v>27173.82</v>
      </c>
      <c r="I727" s="779">
        <f t="shared" si="1143"/>
        <v>18016.057475000001</v>
      </c>
      <c r="J727" s="779">
        <f t="shared" si="1143"/>
        <v>41441.675730000003</v>
      </c>
      <c r="K727" s="776">
        <f t="shared" si="1136"/>
        <v>621047.55542166659</v>
      </c>
      <c r="L727" s="776">
        <f t="shared" si="1137"/>
        <v>93157.133313249986</v>
      </c>
      <c r="M727" s="776">
        <f t="shared" si="1138"/>
        <v>714204.68873491662</v>
      </c>
      <c r="N727" s="776">
        <f t="shared" si="1139"/>
        <v>603031.49794666655</v>
      </c>
      <c r="O727" s="776">
        <f t="shared" si="1140"/>
        <v>90454.724691999974</v>
      </c>
      <c r="P727" s="776">
        <f t="shared" si="1141"/>
        <v>693486.22263866651</v>
      </c>
      <c r="Q727" s="779">
        <f>NCong!R618</f>
        <v>14337.354307692303</v>
      </c>
    </row>
    <row r="728" spans="1:17" s="780" customFormat="1">
      <c r="A728" s="771">
        <v>25.2</v>
      </c>
      <c r="B728" s="808" t="s">
        <v>772</v>
      </c>
      <c r="C728" s="804" t="s">
        <v>51</v>
      </c>
      <c r="D728" s="801" t="s">
        <v>31</v>
      </c>
      <c r="E728" s="779"/>
      <c r="F728" s="779"/>
      <c r="G728" s="779"/>
      <c r="H728" s="779"/>
      <c r="I728" s="779"/>
      <c r="J728" s="779"/>
      <c r="K728" s="779"/>
      <c r="L728" s="779"/>
      <c r="M728" s="779"/>
      <c r="N728" s="779"/>
      <c r="O728" s="779"/>
      <c r="P728" s="779"/>
      <c r="Q728" s="779"/>
    </row>
    <row r="729" spans="1:17" s="780" customFormat="1">
      <c r="A729" s="811" t="s">
        <v>767</v>
      </c>
      <c r="B729" s="810" t="s">
        <v>768</v>
      </c>
      <c r="C729" s="804" t="s">
        <v>51</v>
      </c>
      <c r="D729" s="801" t="s">
        <v>31</v>
      </c>
      <c r="E729" s="779">
        <f>NCong!M618</f>
        <v>416616.92159999989</v>
      </c>
      <c r="F729" s="779"/>
      <c r="G729" s="779">
        <f>G720</f>
        <v>9373.6224769230776</v>
      </c>
      <c r="H729" s="779">
        <f t="shared" ref="H729:J729" si="1144">H720</f>
        <v>7632.2919999999995</v>
      </c>
      <c r="I729" s="779">
        <f t="shared" si="1144"/>
        <v>8315.1034500000005</v>
      </c>
      <c r="J729" s="779">
        <f t="shared" si="1144"/>
        <v>19126.92726</v>
      </c>
      <c r="K729" s="776">
        <f t="shared" ref="K729:K731" si="1145">SUM(E729:J729)</f>
        <v>461064.86678692303</v>
      </c>
      <c r="L729" s="776">
        <f t="shared" ref="L729:L731" si="1146">K729*15%</f>
        <v>69159.730018038448</v>
      </c>
      <c r="M729" s="776">
        <f t="shared" ref="M729:M731" si="1147">K729+L729</f>
        <v>530224.59680496145</v>
      </c>
      <c r="N729" s="776">
        <f t="shared" ref="N729:N731" si="1148">K729-I729</f>
        <v>452749.76333692303</v>
      </c>
      <c r="O729" s="776">
        <f t="shared" ref="O729:O731" si="1149">$L$6*N729</f>
        <v>67912.464500538452</v>
      </c>
      <c r="P729" s="776">
        <f t="shared" ref="P729:P731" si="1150">N729+O729</f>
        <v>520662.22783746151</v>
      </c>
      <c r="Q729" s="779">
        <f>Q725</f>
        <v>11638.622769230766</v>
      </c>
    </row>
    <row r="730" spans="1:17" s="780" customFormat="1">
      <c r="A730" s="811" t="s">
        <v>767</v>
      </c>
      <c r="B730" s="810" t="s">
        <v>769</v>
      </c>
      <c r="C730" s="804" t="s">
        <v>51</v>
      </c>
      <c r="D730" s="801" t="s">
        <v>31</v>
      </c>
      <c r="E730" s="779">
        <f>NCong!N618</f>
        <v>395040.94244999991</v>
      </c>
      <c r="F730" s="779"/>
      <c r="G730" s="779">
        <f t="shared" ref="G730:J731" si="1151">G721</f>
        <v>9373.6224769230776</v>
      </c>
      <c r="H730" s="779">
        <f t="shared" si="1151"/>
        <v>7632.2919999999995</v>
      </c>
      <c r="I730" s="779">
        <f t="shared" si="1151"/>
        <v>8315.1034500000005</v>
      </c>
      <c r="J730" s="779">
        <f t="shared" si="1151"/>
        <v>19126.92726</v>
      </c>
      <c r="K730" s="776">
        <f t="shared" si="1145"/>
        <v>439488.88763692306</v>
      </c>
      <c r="L730" s="776">
        <f t="shared" si="1146"/>
        <v>65923.333145538461</v>
      </c>
      <c r="M730" s="776">
        <f t="shared" si="1147"/>
        <v>505412.22078246152</v>
      </c>
      <c r="N730" s="776">
        <f t="shared" si="1148"/>
        <v>431173.78418692306</v>
      </c>
      <c r="O730" s="776">
        <f t="shared" si="1149"/>
        <v>64676.067628038458</v>
      </c>
      <c r="P730" s="776">
        <f t="shared" si="1150"/>
        <v>495849.85181496153</v>
      </c>
      <c r="Q730" s="779">
        <f t="shared" ref="Q730:Q731" si="1152">Q726</f>
        <v>11009.17823076923</v>
      </c>
    </row>
    <row r="731" spans="1:17" s="780" customFormat="1">
      <c r="A731" s="811" t="s">
        <v>767</v>
      </c>
      <c r="B731" s="810" t="s">
        <v>770</v>
      </c>
      <c r="C731" s="804" t="s">
        <v>51</v>
      </c>
      <c r="D731" s="801" t="s">
        <v>31</v>
      </c>
      <c r="E731" s="779">
        <f>NCong!O618</f>
        <v>514106.48684999993</v>
      </c>
      <c r="F731" s="779"/>
      <c r="G731" s="779">
        <f t="shared" si="1151"/>
        <v>12185.709220000001</v>
      </c>
      <c r="H731" s="779">
        <f t="shared" si="1151"/>
        <v>7632.2919999999995</v>
      </c>
      <c r="I731" s="779">
        <f t="shared" si="1151"/>
        <v>10809.634485</v>
      </c>
      <c r="J731" s="779">
        <f t="shared" si="1151"/>
        <v>24865.005438</v>
      </c>
      <c r="K731" s="776">
        <f t="shared" si="1145"/>
        <v>569599.12799299997</v>
      </c>
      <c r="L731" s="776">
        <f t="shared" si="1146"/>
        <v>85439.869198949993</v>
      </c>
      <c r="M731" s="776">
        <f t="shared" si="1147"/>
        <v>655038.99719194998</v>
      </c>
      <c r="N731" s="776">
        <f t="shared" si="1148"/>
        <v>558789.49350799993</v>
      </c>
      <c r="O731" s="776">
        <f t="shared" si="1149"/>
        <v>83818.42402619998</v>
      </c>
      <c r="P731" s="776">
        <f t="shared" si="1150"/>
        <v>642607.91753419989</v>
      </c>
      <c r="Q731" s="779">
        <f t="shared" si="1152"/>
        <v>14337.354307692303</v>
      </c>
    </row>
    <row r="732" spans="1:17" s="770" customFormat="1">
      <c r="A732" s="771" t="s">
        <v>569</v>
      </c>
      <c r="B732" s="786" t="str">
        <f>NCong!B622</f>
        <v>TRÍCH LỤC HỒ SƠ ĐỊA CHÍNH</v>
      </c>
      <c r="C732" s="771" t="s">
        <v>51</v>
      </c>
      <c r="D732" s="771">
        <v>1</v>
      </c>
      <c r="E732" s="776">
        <f>NCong!I622</f>
        <v>64173.450000000004</v>
      </c>
      <c r="F732" s="776"/>
      <c r="G732" s="776">
        <f>Dcu!J252</f>
        <v>984.18846153846152</v>
      </c>
      <c r="H732" s="776">
        <f>VLieu!H187</f>
        <v>39450</v>
      </c>
      <c r="I732" s="776">
        <f>Tbi!I165</f>
        <v>1677.7932142857144</v>
      </c>
      <c r="J732" s="776">
        <f>Tbi!I170+Dcu!J251</f>
        <v>5083.2936</v>
      </c>
      <c r="K732" s="776">
        <f>SUM(E732:J732)</f>
        <v>111368.7252758242</v>
      </c>
      <c r="L732" s="776">
        <f>$L$6*K732</f>
        <v>16705.308791373627</v>
      </c>
      <c r="M732" s="776">
        <f>K732+L732</f>
        <v>128074.03406719782</v>
      </c>
      <c r="N732" s="776"/>
      <c r="O732" s="776"/>
      <c r="P732" s="776"/>
      <c r="Q732" s="776">
        <f>NCong!J622</f>
        <v>1946.1538461538462</v>
      </c>
    </row>
    <row r="733" spans="1:17" s="770" customFormat="1">
      <c r="A733" s="771"/>
      <c r="B733" s="786" t="str">
        <f>NCong!B630</f>
        <v>Ghi chú:</v>
      </c>
      <c r="C733" s="771"/>
      <c r="D733" s="771"/>
      <c r="E733" s="813"/>
      <c r="F733" s="813"/>
      <c r="G733" s="813"/>
      <c r="H733" s="813"/>
      <c r="I733" s="813"/>
      <c r="J733" s="813"/>
      <c r="K733" s="813"/>
      <c r="L733" s="813"/>
      <c r="M733" s="813"/>
      <c r="N733" s="813"/>
      <c r="O733" s="813"/>
      <c r="P733" s="813"/>
      <c r="Q733" s="813"/>
    </row>
    <row r="734" spans="1:17">
      <c r="A734" s="785">
        <f>NCong!A631</f>
        <v>1</v>
      </c>
      <c r="B734" s="795" t="str">
        <f>NCong!B631</f>
        <v>Trường hợp trích lục hồ sơ cho 01 khu đất (gồm nhiều thửa) mức áp dụng như sau:</v>
      </c>
      <c r="C734" s="785" t="s">
        <v>51</v>
      </c>
      <c r="D734" s="785"/>
      <c r="E734" s="796"/>
      <c r="F734" s="796"/>
      <c r="G734" s="796"/>
      <c r="H734" s="796"/>
      <c r="I734" s="796"/>
      <c r="J734" s="796"/>
      <c r="K734" s="796">
        <f>SUM(E734:J734)</f>
        <v>0</v>
      </c>
      <c r="L734" s="796">
        <f>$L$6*K734</f>
        <v>0</v>
      </c>
      <c r="M734" s="796">
        <f>K734+L734</f>
        <v>0</v>
      </c>
      <c r="N734" s="796"/>
      <c r="O734" s="796"/>
      <c r="P734" s="796"/>
      <c r="Q734" s="796"/>
    </row>
    <row r="735" spans="1:17">
      <c r="A735" s="785">
        <f>NCong!A632</f>
        <v>0</v>
      </c>
      <c r="B735" s="795" t="s">
        <v>745</v>
      </c>
      <c r="C735" s="785" t="s">
        <v>51</v>
      </c>
      <c r="D735" s="801" t="s">
        <v>31</v>
      </c>
      <c r="E735" s="796">
        <f t="shared" ref="E735:J735" si="1153">E$732*0.8</f>
        <v>51338.760000000009</v>
      </c>
      <c r="F735" s="796">
        <f t="shared" si="1153"/>
        <v>0</v>
      </c>
      <c r="G735" s="796">
        <f t="shared" si="1153"/>
        <v>787.35076923076929</v>
      </c>
      <c r="H735" s="796">
        <f t="shared" si="1153"/>
        <v>31560</v>
      </c>
      <c r="I735" s="796">
        <f t="shared" si="1153"/>
        <v>1342.2345714285716</v>
      </c>
      <c r="J735" s="796">
        <f t="shared" si="1153"/>
        <v>4066.6348800000001</v>
      </c>
      <c r="K735" s="776">
        <f t="shared" ref="K735:K737" si="1154">SUM(E735:J735)</f>
        <v>89094.980220659359</v>
      </c>
      <c r="L735" s="776">
        <f t="shared" ref="L735:L737" si="1155">K735*15%</f>
        <v>13364.247033098904</v>
      </c>
      <c r="M735" s="776">
        <f t="shared" ref="M735:M737" si="1156">K735+L735</f>
        <v>102459.22725375826</v>
      </c>
      <c r="N735" s="776">
        <f t="shared" ref="N735:N737" si="1157">K735-I735</f>
        <v>87752.745649230783</v>
      </c>
      <c r="O735" s="776">
        <f t="shared" ref="O735:O737" si="1158">$L$6*N735</f>
        <v>13162.911847384617</v>
      </c>
      <c r="P735" s="776">
        <f t="shared" ref="P735:P737" si="1159">N735+O735</f>
        <v>100915.6574966154</v>
      </c>
      <c r="Q735" s="796">
        <f>Q$732*0.8</f>
        <v>1556.9230769230771</v>
      </c>
    </row>
    <row r="736" spans="1:17">
      <c r="A736" s="785">
        <f>NCong!A633</f>
        <v>0</v>
      </c>
      <c r="B736" s="795" t="s">
        <v>746</v>
      </c>
      <c r="C736" s="785" t="s">
        <v>51</v>
      </c>
      <c r="D736" s="801" t="s">
        <v>31</v>
      </c>
      <c r="E736" s="796">
        <f t="shared" ref="E736:J736" si="1160">E$732*0.65</f>
        <v>41712.742500000008</v>
      </c>
      <c r="F736" s="796">
        <f t="shared" si="1160"/>
        <v>0</v>
      </c>
      <c r="G736" s="796">
        <f t="shared" si="1160"/>
        <v>639.72249999999997</v>
      </c>
      <c r="H736" s="796">
        <f t="shared" si="1160"/>
        <v>25642.5</v>
      </c>
      <c r="I736" s="796">
        <f t="shared" si="1160"/>
        <v>1090.5655892857144</v>
      </c>
      <c r="J736" s="796">
        <f t="shared" si="1160"/>
        <v>3304.14084</v>
      </c>
      <c r="K736" s="776">
        <f t="shared" si="1154"/>
        <v>72389.671429285721</v>
      </c>
      <c r="L736" s="776">
        <f t="shared" si="1155"/>
        <v>10858.450714392859</v>
      </c>
      <c r="M736" s="776">
        <f t="shared" si="1156"/>
        <v>83248.122143678585</v>
      </c>
      <c r="N736" s="776">
        <f t="shared" si="1157"/>
        <v>71299.105840000004</v>
      </c>
      <c r="O736" s="776">
        <f t="shared" si="1158"/>
        <v>10694.865876</v>
      </c>
      <c r="P736" s="776">
        <f t="shared" si="1159"/>
        <v>81993.971716</v>
      </c>
      <c r="Q736" s="796">
        <f>Q$732*0.65</f>
        <v>1265</v>
      </c>
    </row>
    <row r="737" spans="1:17">
      <c r="A737" s="785">
        <f>NCong!A634</f>
        <v>0</v>
      </c>
      <c r="B737" s="795" t="s">
        <v>747</v>
      </c>
      <c r="C737" s="785" t="s">
        <v>51</v>
      </c>
      <c r="D737" s="801" t="s">
        <v>31</v>
      </c>
      <c r="E737" s="796">
        <f t="shared" ref="E737:J737" si="1161">E$732*0.5</f>
        <v>32086.725000000002</v>
      </c>
      <c r="F737" s="796">
        <f t="shared" si="1161"/>
        <v>0</v>
      </c>
      <c r="G737" s="796">
        <f t="shared" si="1161"/>
        <v>492.09423076923076</v>
      </c>
      <c r="H737" s="796">
        <f t="shared" si="1161"/>
        <v>19725</v>
      </c>
      <c r="I737" s="796">
        <f t="shared" si="1161"/>
        <v>838.89660714285719</v>
      </c>
      <c r="J737" s="796">
        <f t="shared" si="1161"/>
        <v>2541.6468</v>
      </c>
      <c r="K737" s="776">
        <f t="shared" si="1154"/>
        <v>55684.362637912098</v>
      </c>
      <c r="L737" s="776">
        <f t="shared" si="1155"/>
        <v>8352.6543956868136</v>
      </c>
      <c r="M737" s="776">
        <f t="shared" si="1156"/>
        <v>64037.01703359891</v>
      </c>
      <c r="N737" s="776">
        <f t="shared" si="1157"/>
        <v>54845.466030769239</v>
      </c>
      <c r="O737" s="776">
        <f t="shared" si="1158"/>
        <v>8226.8199046153859</v>
      </c>
      <c r="P737" s="776">
        <f t="shared" si="1159"/>
        <v>63072.285935384629</v>
      </c>
      <c r="Q737" s="796">
        <f>Q$732*0.5</f>
        <v>973.07692307692309</v>
      </c>
    </row>
  </sheetData>
  <mergeCells count="192">
    <mergeCell ref="A54:A56"/>
    <mergeCell ref="B54:B56"/>
    <mergeCell ref="C54:C56"/>
    <mergeCell ref="A51:A53"/>
    <mergeCell ref="B51:B53"/>
    <mergeCell ref="C51:C53"/>
    <mergeCell ref="B58:P58"/>
    <mergeCell ref="Q3:Q5"/>
    <mergeCell ref="A1:Q1"/>
    <mergeCell ref="A2:Q2"/>
    <mergeCell ref="A3:A6"/>
    <mergeCell ref="B3:B6"/>
    <mergeCell ref="K3:M3"/>
    <mergeCell ref="N3:P3"/>
    <mergeCell ref="N4:N6"/>
    <mergeCell ref="O4:O5"/>
    <mergeCell ref="P4:P6"/>
    <mergeCell ref="A28:A30"/>
    <mergeCell ref="B28:B30"/>
    <mergeCell ref="C28:C30"/>
    <mergeCell ref="B7:P7"/>
    <mergeCell ref="A9:A11"/>
    <mergeCell ref="B9:B11"/>
    <mergeCell ref="C9:C11"/>
    <mergeCell ref="K4:K6"/>
    <mergeCell ref="L4:L5"/>
    <mergeCell ref="C15:C17"/>
    <mergeCell ref="M4:M6"/>
    <mergeCell ref="C3:C6"/>
    <mergeCell ref="D3:D6"/>
    <mergeCell ref="E3:E6"/>
    <mergeCell ref="F3:F6"/>
    <mergeCell ref="G3:G6"/>
    <mergeCell ref="H3:H6"/>
    <mergeCell ref="I3:I6"/>
    <mergeCell ref="J3:J6"/>
    <mergeCell ref="A12:A14"/>
    <mergeCell ref="B12:B14"/>
    <mergeCell ref="C12:C14"/>
    <mergeCell ref="A15:A17"/>
    <mergeCell ref="B15:B17"/>
    <mergeCell ref="A18:A20"/>
    <mergeCell ref="B18:B20"/>
    <mergeCell ref="C18:C20"/>
    <mergeCell ref="A21:A23"/>
    <mergeCell ref="B21:B23"/>
    <mergeCell ref="C21:C23"/>
    <mergeCell ref="A25:A27"/>
    <mergeCell ref="B25:B27"/>
    <mergeCell ref="C25:C27"/>
    <mergeCell ref="A41:A43"/>
    <mergeCell ref="B41:B43"/>
    <mergeCell ref="C41:C43"/>
    <mergeCell ref="A44:A46"/>
    <mergeCell ref="B44:B46"/>
    <mergeCell ref="C44:C46"/>
    <mergeCell ref="A48:A50"/>
    <mergeCell ref="B48:B50"/>
    <mergeCell ref="C48:C50"/>
    <mergeCell ref="A31:A33"/>
    <mergeCell ref="B31:B33"/>
    <mergeCell ref="C31:C33"/>
    <mergeCell ref="A37:A39"/>
    <mergeCell ref="B37:B39"/>
    <mergeCell ref="C37:C39"/>
    <mergeCell ref="A34:A36"/>
    <mergeCell ref="B34:B36"/>
    <mergeCell ref="C34:C36"/>
    <mergeCell ref="A85:A87"/>
    <mergeCell ref="B85:B87"/>
    <mergeCell ref="C85:C87"/>
    <mergeCell ref="A61:A63"/>
    <mergeCell ref="B61:B63"/>
    <mergeCell ref="C61:C63"/>
    <mergeCell ref="A64:A66"/>
    <mergeCell ref="B64:B66"/>
    <mergeCell ref="C64:C66"/>
    <mergeCell ref="A68:A70"/>
    <mergeCell ref="B68:B70"/>
    <mergeCell ref="C68:C70"/>
    <mergeCell ref="A71:A73"/>
    <mergeCell ref="B71:B73"/>
    <mergeCell ref="C71:C73"/>
    <mergeCell ref="A74:A76"/>
    <mergeCell ref="B74:B76"/>
    <mergeCell ref="C74:C76"/>
    <mergeCell ref="A78:A80"/>
    <mergeCell ref="B78:B80"/>
    <mergeCell ref="C78:C80"/>
    <mergeCell ref="A81:A83"/>
    <mergeCell ref="B81:B83"/>
    <mergeCell ref="C81:C83"/>
    <mergeCell ref="A88:A90"/>
    <mergeCell ref="B88:B90"/>
    <mergeCell ref="C88:C90"/>
    <mergeCell ref="A93:A95"/>
    <mergeCell ref="B93:B95"/>
    <mergeCell ref="C93:C95"/>
    <mergeCell ref="A96:A98"/>
    <mergeCell ref="B96:B98"/>
    <mergeCell ref="C96:C98"/>
    <mergeCell ref="A119:A121"/>
    <mergeCell ref="B119:B121"/>
    <mergeCell ref="C119:C121"/>
    <mergeCell ref="A122:A124"/>
    <mergeCell ref="B122:B124"/>
    <mergeCell ref="C122:C124"/>
    <mergeCell ref="A126:A128"/>
    <mergeCell ref="A100:A102"/>
    <mergeCell ref="B100:B102"/>
    <mergeCell ref="C100:C102"/>
    <mergeCell ref="A103:A105"/>
    <mergeCell ref="B103:B105"/>
    <mergeCell ref="C103:C105"/>
    <mergeCell ref="A106:A108"/>
    <mergeCell ref="B106:B108"/>
    <mergeCell ref="C106:C108"/>
    <mergeCell ref="B110:P110"/>
    <mergeCell ref="A112:A114"/>
    <mergeCell ref="B112:B114"/>
    <mergeCell ref="C112:C114"/>
    <mergeCell ref="A115:A117"/>
    <mergeCell ref="B115:B117"/>
    <mergeCell ref="C115:C117"/>
    <mergeCell ref="B126:B128"/>
    <mergeCell ref="C126:C128"/>
    <mergeCell ref="B136:B138"/>
    <mergeCell ref="C136:C138"/>
    <mergeCell ref="A139:A141"/>
    <mergeCell ref="B139:B141"/>
    <mergeCell ref="C139:C141"/>
    <mergeCell ref="B146:P146"/>
    <mergeCell ref="A148:A150"/>
    <mergeCell ref="B148:B150"/>
    <mergeCell ref="C148:C150"/>
    <mergeCell ref="A129:A131"/>
    <mergeCell ref="B129:B131"/>
    <mergeCell ref="C129:C131"/>
    <mergeCell ref="A133:A135"/>
    <mergeCell ref="B133:B135"/>
    <mergeCell ref="C133:C135"/>
    <mergeCell ref="A136:A138"/>
    <mergeCell ref="A151:A153"/>
    <mergeCell ref="B151:B153"/>
    <mergeCell ref="C151:C153"/>
    <mergeCell ref="A154:A156"/>
    <mergeCell ref="B154:B156"/>
    <mergeCell ref="C154:C156"/>
    <mergeCell ref="A157:A159"/>
    <mergeCell ref="B157:B159"/>
    <mergeCell ref="C157:C159"/>
    <mergeCell ref="A161:A163"/>
    <mergeCell ref="B161:B163"/>
    <mergeCell ref="C161:C163"/>
    <mergeCell ref="A164:A166"/>
    <mergeCell ref="B164:B166"/>
    <mergeCell ref="C164:C166"/>
    <mergeCell ref="A167:A169"/>
    <mergeCell ref="B167:B169"/>
    <mergeCell ref="C167:C169"/>
    <mergeCell ref="A171:A173"/>
    <mergeCell ref="B171:B173"/>
    <mergeCell ref="C171:C173"/>
    <mergeCell ref="A174:A176"/>
    <mergeCell ref="B174:B176"/>
    <mergeCell ref="C174:C176"/>
    <mergeCell ref="A177:A179"/>
    <mergeCell ref="B177:B179"/>
    <mergeCell ref="C177:C179"/>
    <mergeCell ref="B495:P495"/>
    <mergeCell ref="A180:A182"/>
    <mergeCell ref="B180:B182"/>
    <mergeCell ref="C180:C182"/>
    <mergeCell ref="A184:A186"/>
    <mergeCell ref="B184:B186"/>
    <mergeCell ref="C184:C186"/>
    <mergeCell ref="A187:A189"/>
    <mergeCell ref="B187:B189"/>
    <mergeCell ref="C187:C189"/>
    <mergeCell ref="B219:P219"/>
    <mergeCell ref="B220:P220"/>
    <mergeCell ref="B224:P224"/>
    <mergeCell ref="B230:P230"/>
    <mergeCell ref="A190:A192"/>
    <mergeCell ref="B190:B192"/>
    <mergeCell ref="C190:C192"/>
    <mergeCell ref="A193:A195"/>
    <mergeCell ref="B193:B195"/>
    <mergeCell ref="C193:C195"/>
    <mergeCell ref="B206:P206"/>
    <mergeCell ref="B207:P207"/>
    <mergeCell ref="B212:P212"/>
  </mergeCells>
  <printOptions horizontalCentered="1"/>
  <pageMargins left="0.5" right="0.4" top="0.5" bottom="0.45" header="0.196850393700787" footer="0.196850393700787"/>
  <pageSetup paperSize="9" orientation="landscape" horizontalDpi="300" verticalDpi="300" r:id="rId1"/>
  <headerFooter alignWithMargins="0">
    <oddFooter>&amp;C&amp;P</oddFooter>
  </headerFooter>
  <ignoredErrors>
    <ignoredError sqref="B61:Q7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sheetPr>
  <dimension ref="A1:O277"/>
  <sheetViews>
    <sheetView showZeros="0" zoomScaleNormal="100" workbookViewId="0">
      <selection activeCell="B26" sqref="B26"/>
    </sheetView>
  </sheetViews>
  <sheetFormatPr defaultColWidth="9" defaultRowHeight="15.5"/>
  <cols>
    <col min="1" max="1" width="7.84375" style="25" customWidth="1"/>
    <col min="2" max="2" width="23.4609375" style="4" customWidth="1"/>
    <col min="3" max="3" width="8.765625" style="25" customWidth="1"/>
    <col min="4" max="4" width="8.765625" style="4" customWidth="1"/>
    <col min="5" max="5" width="9.23046875" style="4" bestFit="1" customWidth="1"/>
    <col min="6" max="6" width="12.23046875" style="88" bestFit="1" customWidth="1"/>
    <col min="7" max="7" width="14.23046875" style="27" customWidth="1"/>
    <col min="8" max="8" width="10.23046875" style="4" bestFit="1" customWidth="1"/>
    <col min="9" max="9" width="12.765625" style="4" customWidth="1"/>
    <col min="10" max="10" width="9" style="4"/>
    <col min="11" max="11" width="44.53515625" style="4" customWidth="1"/>
    <col min="12" max="13" width="9" style="4"/>
    <col min="14" max="15" width="11" style="4" bestFit="1" customWidth="1"/>
    <col min="16" max="16384" width="9" style="4"/>
  </cols>
  <sheetData>
    <row r="1" spans="1:15" ht="17.5">
      <c r="A1" s="857" t="s">
        <v>450</v>
      </c>
      <c r="B1" s="858"/>
      <c r="C1" s="858"/>
      <c r="D1" s="858"/>
      <c r="E1" s="858"/>
      <c r="F1" s="858"/>
      <c r="G1" s="858"/>
      <c r="H1" s="859"/>
    </row>
    <row r="3" spans="1:15">
      <c r="A3" s="76" t="s">
        <v>25</v>
      </c>
      <c r="B3" s="11" t="s">
        <v>339</v>
      </c>
      <c r="F3" s="26"/>
      <c r="G3" s="4"/>
      <c r="H3" s="82" t="s">
        <v>317</v>
      </c>
    </row>
    <row r="4" spans="1:15" s="77" customFormat="1" ht="38.25" customHeight="1">
      <c r="A4" s="393" t="s">
        <v>23</v>
      </c>
      <c r="B4" s="393" t="s">
        <v>2</v>
      </c>
      <c r="C4" s="393" t="s">
        <v>38</v>
      </c>
      <c r="D4" s="393" t="s">
        <v>110</v>
      </c>
      <c r="E4" s="393" t="s">
        <v>112</v>
      </c>
      <c r="F4" s="393" t="s">
        <v>27</v>
      </c>
      <c r="G4" s="869" t="s">
        <v>14</v>
      </c>
      <c r="H4" s="869"/>
      <c r="J4" s="865" t="s">
        <v>1104</v>
      </c>
      <c r="K4" s="865"/>
      <c r="L4" s="865"/>
      <c r="M4" s="865"/>
      <c r="N4" s="865"/>
      <c r="O4" s="865"/>
    </row>
    <row r="5" spans="1:15" ht="18.75" customHeight="1">
      <c r="A5" s="173">
        <v>1</v>
      </c>
      <c r="B5" s="394" t="s">
        <v>322</v>
      </c>
      <c r="C5" s="244" t="s">
        <v>323</v>
      </c>
      <c r="D5" s="244">
        <v>36</v>
      </c>
      <c r="E5" s="557">
        <f>O79</f>
        <v>100000</v>
      </c>
      <c r="F5" s="395">
        <f>E5/D5/26</f>
        <v>106.83760683760684</v>
      </c>
      <c r="G5" s="861"/>
      <c r="H5" s="861"/>
      <c r="J5" s="167" t="s">
        <v>23</v>
      </c>
      <c r="K5" s="167" t="s">
        <v>895</v>
      </c>
      <c r="L5" s="167" t="s">
        <v>896</v>
      </c>
      <c r="M5" s="167" t="s">
        <v>897</v>
      </c>
      <c r="N5" s="167" t="s">
        <v>898</v>
      </c>
      <c r="O5" s="167" t="s">
        <v>35</v>
      </c>
    </row>
    <row r="6" spans="1:15" ht="18.75" customHeight="1">
      <c r="A6" s="173">
        <v>2</v>
      </c>
      <c r="B6" s="396" t="s">
        <v>324</v>
      </c>
      <c r="C6" s="244" t="s">
        <v>323</v>
      </c>
      <c r="D6" s="244">
        <v>96</v>
      </c>
      <c r="E6" s="557">
        <f>O78</f>
        <v>600000</v>
      </c>
      <c r="F6" s="395">
        <f t="shared" ref="F6:F20" si="0">E6/D6/26</f>
        <v>240.38461538461539</v>
      </c>
      <c r="G6" s="861"/>
      <c r="H6" s="861"/>
      <c r="J6" s="167" t="s">
        <v>25</v>
      </c>
      <c r="K6" s="172" t="s">
        <v>899</v>
      </c>
      <c r="L6" s="167"/>
      <c r="M6" s="167"/>
      <c r="N6" s="850"/>
      <c r="O6" s="850"/>
    </row>
    <row r="7" spans="1:15" ht="18.75" customHeight="1">
      <c r="A7" s="173">
        <v>3</v>
      </c>
      <c r="B7" s="394" t="s">
        <v>47</v>
      </c>
      <c r="C7" s="244" t="s">
        <v>323</v>
      </c>
      <c r="D7" s="244">
        <v>96</v>
      </c>
      <c r="E7" s="557">
        <f>O77</f>
        <v>1500000</v>
      </c>
      <c r="F7" s="395">
        <f t="shared" si="0"/>
        <v>600.96153846153845</v>
      </c>
      <c r="G7" s="861"/>
      <c r="H7" s="861"/>
      <c r="J7" s="244">
        <v>1</v>
      </c>
      <c r="K7" s="528" t="s">
        <v>900</v>
      </c>
      <c r="L7" s="244" t="s">
        <v>323</v>
      </c>
      <c r="M7" s="244">
        <v>1</v>
      </c>
      <c r="N7" s="851">
        <v>210000</v>
      </c>
      <c r="O7" s="851">
        <v>210000</v>
      </c>
    </row>
    <row r="8" spans="1:15" ht="18.75" customHeight="1">
      <c r="A8" s="173">
        <v>4</v>
      </c>
      <c r="B8" s="394" t="s">
        <v>325</v>
      </c>
      <c r="C8" s="244" t="s">
        <v>323</v>
      </c>
      <c r="D8" s="244">
        <v>96</v>
      </c>
      <c r="E8" s="557">
        <f>O86</f>
        <v>2250000</v>
      </c>
      <c r="F8" s="395">
        <f t="shared" si="0"/>
        <v>901.44230769230774</v>
      </c>
      <c r="G8" s="861"/>
      <c r="H8" s="861"/>
      <c r="J8" s="244">
        <v>2</v>
      </c>
      <c r="K8" s="528" t="s">
        <v>611</v>
      </c>
      <c r="L8" s="244" t="s">
        <v>323</v>
      </c>
      <c r="M8" s="244">
        <v>1</v>
      </c>
      <c r="N8" s="851">
        <v>100000</v>
      </c>
      <c r="O8" s="851">
        <v>100000</v>
      </c>
    </row>
    <row r="9" spans="1:15" ht="18.75" customHeight="1">
      <c r="A9" s="173">
        <v>6</v>
      </c>
      <c r="B9" s="394" t="s">
        <v>326</v>
      </c>
      <c r="C9" s="244" t="s">
        <v>323</v>
      </c>
      <c r="D9" s="244">
        <v>24</v>
      </c>
      <c r="E9" s="557">
        <f>O37</f>
        <v>43000</v>
      </c>
      <c r="F9" s="395">
        <f t="shared" si="0"/>
        <v>68.910256410256409</v>
      </c>
      <c r="G9" s="861"/>
      <c r="H9" s="861"/>
      <c r="J9" s="244">
        <v>3</v>
      </c>
      <c r="K9" s="528" t="s">
        <v>609</v>
      </c>
      <c r="L9" s="244" t="s">
        <v>323</v>
      </c>
      <c r="M9" s="244">
        <v>1</v>
      </c>
      <c r="N9" s="851">
        <v>240000</v>
      </c>
      <c r="O9" s="851">
        <v>240000</v>
      </c>
    </row>
    <row r="10" spans="1:15" ht="18.75" customHeight="1">
      <c r="A10" s="173">
        <v>7</v>
      </c>
      <c r="B10" s="394" t="s">
        <v>327</v>
      </c>
      <c r="C10" s="244" t="s">
        <v>323</v>
      </c>
      <c r="D10" s="244">
        <v>36</v>
      </c>
      <c r="E10" s="557">
        <f>O45</f>
        <v>205000</v>
      </c>
      <c r="F10" s="395">
        <f t="shared" si="0"/>
        <v>219.01709401709402</v>
      </c>
      <c r="G10" s="861"/>
      <c r="H10" s="861"/>
      <c r="J10" s="244">
        <v>4</v>
      </c>
      <c r="K10" s="528" t="s">
        <v>612</v>
      </c>
      <c r="L10" s="244" t="s">
        <v>337</v>
      </c>
      <c r="M10" s="244">
        <v>1</v>
      </c>
      <c r="N10" s="851">
        <v>159000</v>
      </c>
      <c r="O10" s="851">
        <v>159000</v>
      </c>
    </row>
    <row r="11" spans="1:15" ht="18.75" customHeight="1">
      <c r="A11" s="173">
        <v>8</v>
      </c>
      <c r="B11" s="394" t="s">
        <v>328</v>
      </c>
      <c r="C11" s="244" t="s">
        <v>323</v>
      </c>
      <c r="D11" s="244">
        <v>12</v>
      </c>
      <c r="E11" s="557">
        <f>O92</f>
        <v>100000</v>
      </c>
      <c r="F11" s="395">
        <f t="shared" si="0"/>
        <v>320.51282051282055</v>
      </c>
      <c r="G11" s="861"/>
      <c r="H11" s="861"/>
      <c r="J11" s="244">
        <v>5</v>
      </c>
      <c r="K11" s="528" t="s">
        <v>655</v>
      </c>
      <c r="L11" s="244" t="s">
        <v>337</v>
      </c>
      <c r="M11" s="244">
        <v>1</v>
      </c>
      <c r="N11" s="851">
        <v>50000</v>
      </c>
      <c r="O11" s="851">
        <v>50000</v>
      </c>
    </row>
    <row r="12" spans="1:15" ht="18.75" customHeight="1">
      <c r="A12" s="173">
        <v>10</v>
      </c>
      <c r="B12" s="394" t="s">
        <v>329</v>
      </c>
      <c r="C12" s="244" t="s">
        <v>323</v>
      </c>
      <c r="D12" s="244">
        <v>12</v>
      </c>
      <c r="E12" s="557">
        <f>O94</f>
        <v>37000</v>
      </c>
      <c r="F12" s="395">
        <f t="shared" si="0"/>
        <v>118.58974358974359</v>
      </c>
      <c r="G12" s="861"/>
      <c r="H12" s="861"/>
      <c r="J12" s="244">
        <v>6</v>
      </c>
      <c r="K12" s="528" t="s">
        <v>627</v>
      </c>
      <c r="L12" s="244" t="s">
        <v>323</v>
      </c>
      <c r="M12" s="244">
        <v>1</v>
      </c>
      <c r="N12" s="851">
        <v>12000</v>
      </c>
      <c r="O12" s="851">
        <v>12000</v>
      </c>
    </row>
    <row r="13" spans="1:15" ht="18.75" customHeight="1">
      <c r="A13" s="173">
        <v>11</v>
      </c>
      <c r="B13" s="394" t="s">
        <v>330</v>
      </c>
      <c r="C13" s="244" t="s">
        <v>323</v>
      </c>
      <c r="D13" s="244">
        <v>12</v>
      </c>
      <c r="E13" s="557">
        <f>O95</f>
        <v>185000</v>
      </c>
      <c r="F13" s="395">
        <f t="shared" si="0"/>
        <v>592.9487179487179</v>
      </c>
      <c r="G13" s="861"/>
      <c r="H13" s="861"/>
      <c r="J13" s="244">
        <v>7</v>
      </c>
      <c r="K13" s="528" t="s">
        <v>901</v>
      </c>
      <c r="L13" s="244" t="s">
        <v>323</v>
      </c>
      <c r="M13" s="244">
        <v>1</v>
      </c>
      <c r="N13" s="851">
        <v>24000</v>
      </c>
      <c r="O13" s="851">
        <v>24000</v>
      </c>
    </row>
    <row r="14" spans="1:15" ht="18.75" customHeight="1">
      <c r="A14" s="173">
        <v>12</v>
      </c>
      <c r="B14" s="394" t="s">
        <v>331</v>
      </c>
      <c r="C14" s="244" t="s">
        <v>323</v>
      </c>
      <c r="D14" s="244">
        <v>9</v>
      </c>
      <c r="E14" s="557">
        <f>O97</f>
        <v>46000</v>
      </c>
      <c r="F14" s="395">
        <f t="shared" si="0"/>
        <v>196.58119658119659</v>
      </c>
      <c r="G14" s="861"/>
      <c r="H14" s="861"/>
      <c r="J14" s="244">
        <v>8</v>
      </c>
      <c r="K14" s="528" t="s">
        <v>902</v>
      </c>
      <c r="L14" s="244" t="s">
        <v>323</v>
      </c>
      <c r="M14" s="244">
        <v>1</v>
      </c>
      <c r="N14" s="851">
        <v>30000</v>
      </c>
      <c r="O14" s="851">
        <v>30000</v>
      </c>
    </row>
    <row r="15" spans="1:15" ht="18.75" customHeight="1">
      <c r="A15" s="173">
        <v>13</v>
      </c>
      <c r="B15" s="394" t="s">
        <v>332</v>
      </c>
      <c r="C15" s="244" t="s">
        <v>323</v>
      </c>
      <c r="D15" s="244">
        <v>12</v>
      </c>
      <c r="E15" s="557">
        <f>O75</f>
        <v>150000</v>
      </c>
      <c r="F15" s="395">
        <f t="shared" si="0"/>
        <v>480.76923076923077</v>
      </c>
      <c r="G15" s="861"/>
      <c r="H15" s="861"/>
      <c r="J15" s="244">
        <v>9</v>
      </c>
      <c r="K15" s="528" t="s">
        <v>903</v>
      </c>
      <c r="L15" s="244" t="s">
        <v>323</v>
      </c>
      <c r="M15" s="244">
        <v>1</v>
      </c>
      <c r="N15" s="851">
        <v>21000</v>
      </c>
      <c r="O15" s="851">
        <v>21000</v>
      </c>
    </row>
    <row r="16" spans="1:15" ht="18.75" customHeight="1">
      <c r="A16" s="173">
        <v>15</v>
      </c>
      <c r="B16" s="397" t="s">
        <v>408</v>
      </c>
      <c r="C16" s="244" t="s">
        <v>323</v>
      </c>
      <c r="D16" s="244">
        <v>96</v>
      </c>
      <c r="E16" s="557">
        <f>O20</f>
        <v>350000</v>
      </c>
      <c r="F16" s="395">
        <f t="shared" si="0"/>
        <v>140.22435897435898</v>
      </c>
      <c r="G16" s="861"/>
      <c r="H16" s="861"/>
      <c r="J16" s="244">
        <v>10</v>
      </c>
      <c r="K16" s="528" t="s">
        <v>613</v>
      </c>
      <c r="L16" s="244" t="s">
        <v>323</v>
      </c>
      <c r="M16" s="244">
        <v>1</v>
      </c>
      <c r="N16" s="851">
        <v>80000</v>
      </c>
      <c r="O16" s="851">
        <v>80000</v>
      </c>
    </row>
    <row r="17" spans="1:15" ht="18.75" customHeight="1">
      <c r="A17" s="173">
        <v>16</v>
      </c>
      <c r="B17" s="394" t="s">
        <v>409</v>
      </c>
      <c r="C17" s="244" t="s">
        <v>323</v>
      </c>
      <c r="D17" s="244">
        <v>24</v>
      </c>
      <c r="E17" s="557">
        <f>O24</f>
        <v>100000</v>
      </c>
      <c r="F17" s="395">
        <f t="shared" si="0"/>
        <v>160.25641025641028</v>
      </c>
      <c r="G17" s="861"/>
      <c r="H17" s="861"/>
      <c r="J17" s="244">
        <v>11</v>
      </c>
      <c r="K17" s="528" t="s">
        <v>904</v>
      </c>
      <c r="L17" s="244" t="s">
        <v>323</v>
      </c>
      <c r="M17" s="244">
        <v>1</v>
      </c>
      <c r="N17" s="851">
        <v>60000</v>
      </c>
      <c r="O17" s="851">
        <v>60000</v>
      </c>
    </row>
    <row r="18" spans="1:15" ht="18.75" customHeight="1">
      <c r="A18" s="173">
        <v>17</v>
      </c>
      <c r="B18" s="394" t="s">
        <v>334</v>
      </c>
      <c r="C18" s="244" t="s">
        <v>323</v>
      </c>
      <c r="D18" s="244">
        <v>12</v>
      </c>
      <c r="E18" s="557">
        <f>O98</f>
        <v>11500</v>
      </c>
      <c r="F18" s="395">
        <f t="shared" si="0"/>
        <v>36.858974358974358</v>
      </c>
      <c r="G18" s="861"/>
      <c r="H18" s="861"/>
      <c r="J18" s="244">
        <v>12</v>
      </c>
      <c r="K18" s="528" t="s">
        <v>905</v>
      </c>
      <c r="L18" s="244" t="s">
        <v>337</v>
      </c>
      <c r="M18" s="244">
        <v>1</v>
      </c>
      <c r="N18" s="851">
        <v>100000</v>
      </c>
      <c r="O18" s="851">
        <v>100000</v>
      </c>
    </row>
    <row r="19" spans="1:15" ht="18.75" customHeight="1">
      <c r="A19" s="173">
        <v>18</v>
      </c>
      <c r="B19" s="394" t="s">
        <v>335</v>
      </c>
      <c r="C19" s="244" t="s">
        <v>323</v>
      </c>
      <c r="D19" s="244">
        <v>36</v>
      </c>
      <c r="E19" s="557">
        <f>O85</f>
        <v>2640000</v>
      </c>
      <c r="F19" s="395">
        <f t="shared" si="0"/>
        <v>2820.5128205128203</v>
      </c>
      <c r="G19" s="861"/>
      <c r="H19" s="861"/>
      <c r="J19" s="244">
        <v>13</v>
      </c>
      <c r="K19" s="528" t="s">
        <v>906</v>
      </c>
      <c r="L19" s="244" t="s">
        <v>333</v>
      </c>
      <c r="M19" s="244">
        <v>1</v>
      </c>
      <c r="N19" s="851">
        <v>145000</v>
      </c>
      <c r="O19" s="851">
        <v>145000</v>
      </c>
    </row>
    <row r="20" spans="1:15" ht="18.75" customHeight="1">
      <c r="A20" s="173">
        <v>19</v>
      </c>
      <c r="B20" s="394" t="s">
        <v>336</v>
      </c>
      <c r="C20" s="244" t="s">
        <v>337</v>
      </c>
      <c r="D20" s="244">
        <v>30</v>
      </c>
      <c r="E20" s="557">
        <f>O80</f>
        <v>165000</v>
      </c>
      <c r="F20" s="395">
        <f t="shared" si="0"/>
        <v>211.53846153846155</v>
      </c>
      <c r="G20" s="861"/>
      <c r="H20" s="861"/>
      <c r="J20" s="244">
        <v>14</v>
      </c>
      <c r="K20" s="528" t="s">
        <v>408</v>
      </c>
      <c r="L20" s="244" t="s">
        <v>323</v>
      </c>
      <c r="M20" s="244">
        <v>1</v>
      </c>
      <c r="N20" s="851">
        <v>350000</v>
      </c>
      <c r="O20" s="851">
        <v>350000</v>
      </c>
    </row>
    <row r="21" spans="1:15" ht="18.75" customHeight="1">
      <c r="A21" s="173">
        <v>20</v>
      </c>
      <c r="B21" s="394" t="s">
        <v>656</v>
      </c>
      <c r="C21" s="244" t="s">
        <v>338</v>
      </c>
      <c r="D21" s="398">
        <v>1</v>
      </c>
      <c r="E21" s="557">
        <f>VLOOKUP(B21,'Chung-thu'!B:F,5,0)</f>
        <v>2226</v>
      </c>
      <c r="F21" s="395">
        <f>D21*E21</f>
        <v>2226</v>
      </c>
      <c r="G21" s="861"/>
      <c r="H21" s="861"/>
      <c r="J21" s="244">
        <v>15</v>
      </c>
      <c r="K21" s="528" t="s">
        <v>614</v>
      </c>
      <c r="L21" s="244" t="s">
        <v>323</v>
      </c>
      <c r="M21" s="244">
        <v>1</v>
      </c>
      <c r="N21" s="851">
        <v>210000</v>
      </c>
      <c r="O21" s="851">
        <v>210000</v>
      </c>
    </row>
    <row r="22" spans="1:15" s="5" customFormat="1">
      <c r="A22" s="173"/>
      <c r="B22" s="174"/>
      <c r="C22" s="173"/>
      <c r="D22" s="174"/>
      <c r="E22" s="174"/>
      <c r="F22" s="213"/>
      <c r="G22" s="861"/>
      <c r="H22" s="861"/>
      <c r="J22" s="244">
        <v>16</v>
      </c>
      <c r="K22" s="528" t="s">
        <v>608</v>
      </c>
      <c r="L22" s="244" t="s">
        <v>323</v>
      </c>
      <c r="M22" s="244">
        <v>1</v>
      </c>
      <c r="N22" s="851">
        <v>50000</v>
      </c>
      <c r="O22" s="851">
        <v>50000</v>
      </c>
    </row>
    <row r="23" spans="1:15">
      <c r="J23" s="244">
        <v>17</v>
      </c>
      <c r="K23" s="528" t="s">
        <v>615</v>
      </c>
      <c r="L23" s="244" t="s">
        <v>616</v>
      </c>
      <c r="M23" s="244">
        <v>1</v>
      </c>
      <c r="N23" s="851">
        <v>10000</v>
      </c>
      <c r="O23" s="851">
        <v>10000</v>
      </c>
    </row>
    <row r="24" spans="1:15">
      <c r="A24" s="76" t="s">
        <v>105</v>
      </c>
      <c r="B24" s="11" t="s">
        <v>344</v>
      </c>
      <c r="F24" s="26"/>
      <c r="G24" s="4"/>
      <c r="H24" s="82" t="s">
        <v>317</v>
      </c>
      <c r="J24" s="244">
        <v>18</v>
      </c>
      <c r="K24" s="528" t="s">
        <v>409</v>
      </c>
      <c r="L24" s="244" t="s">
        <v>323</v>
      </c>
      <c r="M24" s="244">
        <v>1</v>
      </c>
      <c r="N24" s="851">
        <v>100000</v>
      </c>
      <c r="O24" s="851">
        <v>100000</v>
      </c>
    </row>
    <row r="25" spans="1:15" ht="45.5">
      <c r="A25" s="393" t="s">
        <v>23</v>
      </c>
      <c r="B25" s="393" t="s">
        <v>29</v>
      </c>
      <c r="C25" s="393" t="s">
        <v>38</v>
      </c>
      <c r="D25" s="393" t="s">
        <v>4</v>
      </c>
      <c r="E25" s="393" t="s">
        <v>5</v>
      </c>
      <c r="F25" s="393" t="s">
        <v>30</v>
      </c>
      <c r="G25" s="393" t="s">
        <v>0</v>
      </c>
      <c r="H25" s="234" t="s">
        <v>14</v>
      </c>
      <c r="J25" s="244">
        <v>19</v>
      </c>
      <c r="K25" s="528" t="s">
        <v>617</v>
      </c>
      <c r="L25" s="244" t="s">
        <v>323</v>
      </c>
      <c r="M25" s="244">
        <v>1</v>
      </c>
      <c r="N25" s="851">
        <v>1380000</v>
      </c>
      <c r="O25" s="851">
        <v>1380000</v>
      </c>
    </row>
    <row r="26" spans="1:15" ht="21" customHeight="1">
      <c r="A26" s="244">
        <v>1</v>
      </c>
      <c r="B26" s="245" t="s">
        <v>113</v>
      </c>
      <c r="C26" s="244" t="s">
        <v>46</v>
      </c>
      <c r="D26" s="244">
        <v>0.4</v>
      </c>
      <c r="E26" s="244">
        <v>7</v>
      </c>
      <c r="F26" s="557">
        <f>O240</f>
        <v>13127000</v>
      </c>
      <c r="G26" s="246">
        <f>F26/E26/500</f>
        <v>3750.5714285714284</v>
      </c>
      <c r="H26" s="247" t="s">
        <v>366</v>
      </c>
      <c r="J26" s="244">
        <v>20</v>
      </c>
      <c r="K26" s="528" t="s">
        <v>610</v>
      </c>
      <c r="L26" s="244" t="s">
        <v>337</v>
      </c>
      <c r="M26" s="244">
        <v>1</v>
      </c>
      <c r="N26" s="851">
        <v>350000</v>
      </c>
      <c r="O26" s="851">
        <v>350000</v>
      </c>
    </row>
    <row r="27" spans="1:15" ht="21" customHeight="1">
      <c r="A27" s="244">
        <v>2</v>
      </c>
      <c r="B27" s="245" t="s">
        <v>340</v>
      </c>
      <c r="C27" s="244" t="s">
        <v>46</v>
      </c>
      <c r="D27" s="244">
        <v>0.6</v>
      </c>
      <c r="E27" s="244">
        <v>8</v>
      </c>
      <c r="F27" s="557">
        <f>O241</f>
        <v>4082000</v>
      </c>
      <c r="G27" s="246">
        <f>F27/E27/500</f>
        <v>1020.5</v>
      </c>
      <c r="H27" s="247" t="s">
        <v>366</v>
      </c>
      <c r="J27" s="244">
        <v>21</v>
      </c>
      <c r="K27" s="528" t="s">
        <v>907</v>
      </c>
      <c r="L27" s="244" t="s">
        <v>752</v>
      </c>
      <c r="M27" s="244">
        <v>1</v>
      </c>
      <c r="N27" s="851">
        <v>15000</v>
      </c>
      <c r="O27" s="851">
        <v>15000</v>
      </c>
    </row>
    <row r="28" spans="1:15" ht="21" customHeight="1">
      <c r="A28" s="244">
        <v>3</v>
      </c>
      <c r="B28" s="245" t="s">
        <v>342</v>
      </c>
      <c r="C28" s="244" t="s">
        <v>46</v>
      </c>
      <c r="D28" s="244">
        <v>0.6</v>
      </c>
      <c r="E28" s="244">
        <v>8</v>
      </c>
      <c r="F28" s="557">
        <f>O248</f>
        <v>14445000</v>
      </c>
      <c r="G28" s="246">
        <f t="shared" ref="G28:G34" si="1">F28/E28/500</f>
        <v>3611.25</v>
      </c>
      <c r="H28" s="247" t="s">
        <v>366</v>
      </c>
      <c r="J28" s="244">
        <v>22</v>
      </c>
      <c r="K28" s="528" t="s">
        <v>908</v>
      </c>
      <c r="L28" s="244" t="s">
        <v>333</v>
      </c>
      <c r="M28" s="244">
        <v>1</v>
      </c>
      <c r="N28" s="851">
        <v>26000</v>
      </c>
      <c r="O28" s="851">
        <v>26000</v>
      </c>
    </row>
    <row r="29" spans="1:15" ht="21" customHeight="1">
      <c r="A29" s="244">
        <v>4</v>
      </c>
      <c r="B29" s="245" t="s">
        <v>425</v>
      </c>
      <c r="C29" s="244" t="s">
        <v>46</v>
      </c>
      <c r="D29" s="244">
        <v>0.6</v>
      </c>
      <c r="E29" s="244">
        <v>8</v>
      </c>
      <c r="F29" s="557">
        <f>O259</f>
        <v>280800000</v>
      </c>
      <c r="G29" s="246">
        <f t="shared" si="1"/>
        <v>70200</v>
      </c>
      <c r="H29" s="247" t="s">
        <v>366</v>
      </c>
      <c r="J29" s="244">
        <v>23</v>
      </c>
      <c r="K29" s="528" t="s">
        <v>909</v>
      </c>
      <c r="L29" s="244" t="s">
        <v>323</v>
      </c>
      <c r="M29" s="244">
        <v>1</v>
      </c>
      <c r="N29" s="851">
        <v>49000</v>
      </c>
      <c r="O29" s="851">
        <v>49000</v>
      </c>
    </row>
    <row r="30" spans="1:15" ht="21" customHeight="1">
      <c r="A30" s="244">
        <v>5</v>
      </c>
      <c r="B30" s="634" t="s">
        <v>343</v>
      </c>
      <c r="C30" s="244" t="s">
        <v>46</v>
      </c>
      <c r="D30" s="244">
        <v>0.6</v>
      </c>
      <c r="E30" s="244">
        <v>8</v>
      </c>
      <c r="F30" s="557">
        <f>O250</f>
        <v>78082000</v>
      </c>
      <c r="G30" s="246">
        <f t="shared" si="1"/>
        <v>19520.5</v>
      </c>
      <c r="H30" s="247" t="s">
        <v>366</v>
      </c>
      <c r="J30" s="244">
        <v>24</v>
      </c>
      <c r="K30" s="528" t="s">
        <v>618</v>
      </c>
      <c r="L30" s="244" t="s">
        <v>323</v>
      </c>
      <c r="M30" s="244">
        <v>1</v>
      </c>
      <c r="N30" s="851">
        <v>18000</v>
      </c>
      <c r="O30" s="851">
        <v>18000</v>
      </c>
    </row>
    <row r="31" spans="1:15" ht="21" customHeight="1">
      <c r="A31" s="244">
        <v>6</v>
      </c>
      <c r="B31" s="245" t="s">
        <v>43</v>
      </c>
      <c r="C31" s="244" t="s">
        <v>46</v>
      </c>
      <c r="D31" s="244">
        <v>2.2000000000000002</v>
      </c>
      <c r="E31" s="244">
        <v>8</v>
      </c>
      <c r="F31" s="557">
        <f>O243</f>
        <v>9910000</v>
      </c>
      <c r="G31" s="246">
        <f t="shared" si="1"/>
        <v>2477.5</v>
      </c>
      <c r="H31" s="247" t="s">
        <v>366</v>
      </c>
      <c r="J31" s="244">
        <v>25</v>
      </c>
      <c r="K31" s="528" t="s">
        <v>910</v>
      </c>
      <c r="L31" s="244" t="s">
        <v>323</v>
      </c>
      <c r="M31" s="244">
        <v>1</v>
      </c>
      <c r="N31" s="851">
        <v>5000</v>
      </c>
      <c r="O31" s="851">
        <v>5000</v>
      </c>
    </row>
    <row r="32" spans="1:15" ht="21" customHeight="1">
      <c r="A32" s="244">
        <v>7</v>
      </c>
      <c r="B32" s="634" t="s">
        <v>42</v>
      </c>
      <c r="C32" s="244" t="s">
        <v>46</v>
      </c>
      <c r="D32" s="244">
        <v>1.5</v>
      </c>
      <c r="E32" s="244">
        <v>8</v>
      </c>
      <c r="F32" s="557">
        <f>O251</f>
        <v>179900000</v>
      </c>
      <c r="G32" s="246">
        <f t="shared" si="1"/>
        <v>44975</v>
      </c>
      <c r="H32" s="247" t="s">
        <v>366</v>
      </c>
      <c r="J32" s="244">
        <v>26</v>
      </c>
      <c r="K32" s="528" t="s">
        <v>911</v>
      </c>
      <c r="L32" s="244" t="s">
        <v>323</v>
      </c>
      <c r="M32" s="244">
        <v>1</v>
      </c>
      <c r="N32" s="851">
        <v>50000</v>
      </c>
      <c r="O32" s="851">
        <v>50000</v>
      </c>
    </row>
    <row r="33" spans="1:15" s="11" customFormat="1" ht="21" customHeight="1">
      <c r="A33" s="244">
        <v>8</v>
      </c>
      <c r="B33" s="245" t="s">
        <v>341</v>
      </c>
      <c r="C33" s="244" t="s">
        <v>46</v>
      </c>
      <c r="D33" s="244">
        <v>1.5</v>
      </c>
      <c r="E33" s="244">
        <v>8</v>
      </c>
      <c r="F33" s="557">
        <f>O252</f>
        <v>500000000</v>
      </c>
      <c r="G33" s="246">
        <f t="shared" si="1"/>
        <v>125000</v>
      </c>
      <c r="H33" s="247" t="s">
        <v>366</v>
      </c>
      <c r="J33" s="244">
        <v>27</v>
      </c>
      <c r="K33" s="528" t="s">
        <v>912</v>
      </c>
      <c r="L33" s="244" t="s">
        <v>323</v>
      </c>
      <c r="M33" s="244">
        <v>1</v>
      </c>
      <c r="N33" s="851">
        <v>120000</v>
      </c>
      <c r="O33" s="851">
        <v>120000</v>
      </c>
    </row>
    <row r="34" spans="1:15" s="5" customFormat="1" ht="21" customHeight="1">
      <c r="A34" s="244">
        <v>9</v>
      </c>
      <c r="B34" s="245" t="s">
        <v>369</v>
      </c>
      <c r="C34" s="244" t="s">
        <v>323</v>
      </c>
      <c r="D34" s="244">
        <v>0.4</v>
      </c>
      <c r="E34" s="244">
        <v>8</v>
      </c>
      <c r="F34" s="557">
        <f>O242</f>
        <v>101818000</v>
      </c>
      <c r="G34" s="246">
        <f t="shared" si="1"/>
        <v>25454.5</v>
      </c>
      <c r="H34" s="247" t="s">
        <v>366</v>
      </c>
      <c r="J34" s="244">
        <v>28</v>
      </c>
      <c r="K34" s="528" t="s">
        <v>913</v>
      </c>
      <c r="L34" s="244" t="s">
        <v>323</v>
      </c>
      <c r="M34" s="244">
        <v>1</v>
      </c>
      <c r="N34" s="851">
        <v>30000</v>
      </c>
      <c r="O34" s="851">
        <v>30000</v>
      </c>
    </row>
    <row r="35" spans="1:15" ht="21" customHeight="1">
      <c r="A35" s="244">
        <v>10</v>
      </c>
      <c r="B35" s="245" t="s">
        <v>656</v>
      </c>
      <c r="C35" s="244" t="s">
        <v>118</v>
      </c>
      <c r="D35" s="244"/>
      <c r="E35" s="398">
        <v>1.05</v>
      </c>
      <c r="F35" s="557">
        <f>E21</f>
        <v>2226</v>
      </c>
      <c r="G35" s="246">
        <f>E35*F35</f>
        <v>2337.3000000000002</v>
      </c>
      <c r="H35" s="247" t="s">
        <v>117</v>
      </c>
      <c r="J35" s="244">
        <v>29</v>
      </c>
      <c r="K35" s="528" t="s">
        <v>628</v>
      </c>
      <c r="L35" s="244" t="s">
        <v>323</v>
      </c>
      <c r="M35" s="244">
        <v>1</v>
      </c>
      <c r="N35" s="851">
        <v>450000</v>
      </c>
      <c r="O35" s="851">
        <v>450000</v>
      </c>
    </row>
    <row r="36" spans="1:15" ht="21" customHeight="1">
      <c r="A36" s="244"/>
      <c r="B36" s="245"/>
      <c r="C36" s="244"/>
      <c r="D36" s="244"/>
      <c r="E36" s="244"/>
      <c r="F36" s="557"/>
      <c r="G36" s="635"/>
      <c r="H36" s="247"/>
      <c r="J36" s="244">
        <v>30</v>
      </c>
      <c r="K36" s="528" t="s">
        <v>914</v>
      </c>
      <c r="L36" s="244" t="s">
        <v>323</v>
      </c>
      <c r="M36" s="244">
        <v>1</v>
      </c>
      <c r="N36" s="851">
        <v>1500000</v>
      </c>
      <c r="O36" s="851">
        <v>1500000</v>
      </c>
    </row>
    <row r="37" spans="1:15">
      <c r="J37" s="244">
        <v>31</v>
      </c>
      <c r="K37" s="528" t="s">
        <v>915</v>
      </c>
      <c r="L37" s="244" t="s">
        <v>323</v>
      </c>
      <c r="M37" s="244">
        <v>1</v>
      </c>
      <c r="N37" s="851">
        <v>43000</v>
      </c>
      <c r="O37" s="851">
        <v>43000</v>
      </c>
    </row>
    <row r="38" spans="1:15" ht="16" thickBot="1">
      <c r="A38" s="76" t="s">
        <v>108</v>
      </c>
      <c r="B38" s="11" t="s">
        <v>345</v>
      </c>
      <c r="C38" s="76"/>
      <c r="E38" s="11"/>
      <c r="F38" s="87"/>
      <c r="G38" s="82"/>
      <c r="H38" s="82" t="s">
        <v>317</v>
      </c>
      <c r="J38" s="244">
        <v>32</v>
      </c>
      <c r="K38" s="528" t="s">
        <v>619</v>
      </c>
      <c r="L38" s="244" t="s">
        <v>323</v>
      </c>
      <c r="M38" s="244">
        <v>1</v>
      </c>
      <c r="N38" s="851">
        <v>50000</v>
      </c>
      <c r="O38" s="851">
        <v>50000</v>
      </c>
    </row>
    <row r="39" spans="1:15" ht="31.5" customHeight="1">
      <c r="A39" s="15" t="s">
        <v>23</v>
      </c>
      <c r="B39" s="16" t="s">
        <v>3</v>
      </c>
      <c r="C39" s="16" t="s">
        <v>38</v>
      </c>
      <c r="D39" s="864" t="s">
        <v>30</v>
      </c>
      <c r="E39" s="864"/>
      <c r="F39" s="864"/>
      <c r="G39" s="862" t="s">
        <v>14</v>
      </c>
      <c r="H39" s="863"/>
      <c r="J39" s="244">
        <v>33</v>
      </c>
      <c r="K39" s="528" t="s">
        <v>620</v>
      </c>
      <c r="L39" s="244" t="s">
        <v>323</v>
      </c>
      <c r="M39" s="244">
        <v>1</v>
      </c>
      <c r="N39" s="851">
        <v>80000</v>
      </c>
      <c r="O39" s="851">
        <v>80000</v>
      </c>
    </row>
    <row r="40" spans="1:15" ht="18.75" customHeight="1">
      <c r="A40" s="171">
        <v>1</v>
      </c>
      <c r="B40" s="174" t="s">
        <v>116</v>
      </c>
      <c r="C40" s="173" t="s">
        <v>323</v>
      </c>
      <c r="D40" s="860">
        <f>O48</f>
        <v>15000</v>
      </c>
      <c r="E40" s="860"/>
      <c r="F40" s="860"/>
      <c r="G40" s="855"/>
      <c r="H40" s="856"/>
      <c r="J40" s="244">
        <v>34</v>
      </c>
      <c r="K40" s="528" t="s">
        <v>916</v>
      </c>
      <c r="L40" s="244" t="s">
        <v>323</v>
      </c>
      <c r="M40" s="244">
        <v>1</v>
      </c>
      <c r="N40" s="851">
        <v>180000</v>
      </c>
      <c r="O40" s="851">
        <v>180000</v>
      </c>
    </row>
    <row r="41" spans="1:15" ht="18.75" customHeight="1">
      <c r="A41" s="171">
        <v>2</v>
      </c>
      <c r="B41" s="396" t="s">
        <v>334</v>
      </c>
      <c r="C41" s="173" t="s">
        <v>323</v>
      </c>
      <c r="D41" s="860">
        <f>O98</f>
        <v>11500</v>
      </c>
      <c r="E41" s="860"/>
      <c r="F41" s="860"/>
      <c r="G41" s="855"/>
      <c r="H41" s="856"/>
      <c r="J41" s="244">
        <v>35</v>
      </c>
      <c r="K41" s="528" t="s">
        <v>917</v>
      </c>
      <c r="L41" s="244" t="s">
        <v>323</v>
      </c>
      <c r="M41" s="244">
        <v>1</v>
      </c>
      <c r="N41" s="851">
        <v>87000</v>
      </c>
      <c r="O41" s="851">
        <v>87000</v>
      </c>
    </row>
    <row r="42" spans="1:15" ht="18.75" customHeight="1">
      <c r="A42" s="171">
        <v>3</v>
      </c>
      <c r="B42" s="174" t="s">
        <v>346</v>
      </c>
      <c r="C42" s="173" t="s">
        <v>347</v>
      </c>
      <c r="D42" s="860">
        <f>O176</f>
        <v>12000</v>
      </c>
      <c r="E42" s="860"/>
      <c r="F42" s="860"/>
      <c r="G42" s="855"/>
      <c r="H42" s="856"/>
      <c r="J42" s="244">
        <v>36</v>
      </c>
      <c r="K42" s="528" t="s">
        <v>918</v>
      </c>
      <c r="L42" s="244" t="s">
        <v>323</v>
      </c>
      <c r="M42" s="244">
        <v>1</v>
      </c>
      <c r="N42" s="851">
        <v>150000</v>
      </c>
      <c r="O42" s="851">
        <v>150000</v>
      </c>
    </row>
    <row r="43" spans="1:15" ht="18.75" customHeight="1">
      <c r="A43" s="171">
        <v>4</v>
      </c>
      <c r="B43" s="174" t="s">
        <v>348</v>
      </c>
      <c r="C43" s="173" t="s">
        <v>347</v>
      </c>
      <c r="D43" s="860">
        <f>O177</f>
        <v>3500</v>
      </c>
      <c r="E43" s="860"/>
      <c r="F43" s="860"/>
      <c r="G43" s="855"/>
      <c r="H43" s="856"/>
      <c r="J43" s="244">
        <v>37</v>
      </c>
      <c r="K43" s="528" t="s">
        <v>621</v>
      </c>
      <c r="L43" s="244" t="s">
        <v>359</v>
      </c>
      <c r="M43" s="244">
        <v>1</v>
      </c>
      <c r="N43" s="851">
        <v>15000</v>
      </c>
      <c r="O43" s="851">
        <v>15000</v>
      </c>
    </row>
    <row r="44" spans="1:15" ht="18.75" customHeight="1">
      <c r="A44" s="171">
        <v>5</v>
      </c>
      <c r="B44" s="174" t="s">
        <v>349</v>
      </c>
      <c r="C44" s="173" t="s">
        <v>347</v>
      </c>
      <c r="D44" s="860">
        <f>O151</f>
        <v>1600000</v>
      </c>
      <c r="E44" s="860"/>
      <c r="F44" s="860"/>
      <c r="G44" s="855"/>
      <c r="H44" s="856"/>
      <c r="J44" s="244">
        <v>38</v>
      </c>
      <c r="K44" s="528" t="s">
        <v>919</v>
      </c>
      <c r="L44" s="244" t="s">
        <v>323</v>
      </c>
      <c r="M44" s="244">
        <v>1</v>
      </c>
      <c r="N44" s="851">
        <v>287000</v>
      </c>
      <c r="O44" s="851">
        <v>287000</v>
      </c>
    </row>
    <row r="45" spans="1:15" ht="18.75" customHeight="1">
      <c r="A45" s="171">
        <v>6</v>
      </c>
      <c r="B45" s="174" t="s">
        <v>350</v>
      </c>
      <c r="C45" s="173" t="s">
        <v>347</v>
      </c>
      <c r="D45" s="860">
        <f>O165</f>
        <v>1600000</v>
      </c>
      <c r="E45" s="860"/>
      <c r="F45" s="860"/>
      <c r="G45" s="855"/>
      <c r="H45" s="856"/>
      <c r="J45" s="244">
        <v>39</v>
      </c>
      <c r="K45" s="528" t="s">
        <v>327</v>
      </c>
      <c r="L45" s="244" t="s">
        <v>323</v>
      </c>
      <c r="M45" s="244">
        <v>1</v>
      </c>
      <c r="N45" s="851">
        <v>205000</v>
      </c>
      <c r="O45" s="851">
        <v>205000</v>
      </c>
    </row>
    <row r="46" spans="1:15" ht="18.75" customHeight="1">
      <c r="A46" s="171">
        <v>7</v>
      </c>
      <c r="B46" s="174" t="s">
        <v>351</v>
      </c>
      <c r="C46" s="173" t="s">
        <v>347</v>
      </c>
      <c r="D46" s="860">
        <f>O152</f>
        <v>2900000</v>
      </c>
      <c r="E46" s="860"/>
      <c r="F46" s="860"/>
      <c r="G46" s="855"/>
      <c r="H46" s="856"/>
      <c r="J46" s="244">
        <v>40</v>
      </c>
      <c r="K46" s="528" t="s">
        <v>622</v>
      </c>
      <c r="L46" s="244" t="s">
        <v>323</v>
      </c>
      <c r="M46" s="244">
        <v>1</v>
      </c>
      <c r="N46" s="851">
        <v>30000</v>
      </c>
      <c r="O46" s="851">
        <v>30000</v>
      </c>
    </row>
    <row r="47" spans="1:15" ht="18.75" customHeight="1">
      <c r="A47" s="171">
        <v>9</v>
      </c>
      <c r="B47" s="396" t="s">
        <v>424</v>
      </c>
      <c r="C47" s="173" t="s">
        <v>143</v>
      </c>
      <c r="D47" s="860">
        <v>8672</v>
      </c>
      <c r="E47" s="860"/>
      <c r="F47" s="860"/>
      <c r="G47" s="855"/>
      <c r="H47" s="856"/>
      <c r="J47" s="244">
        <v>41</v>
      </c>
      <c r="K47" s="528" t="s">
        <v>623</v>
      </c>
      <c r="L47" s="244" t="s">
        <v>323</v>
      </c>
      <c r="M47" s="244">
        <v>1</v>
      </c>
      <c r="N47" s="851">
        <v>50000</v>
      </c>
      <c r="O47" s="851">
        <v>50000</v>
      </c>
    </row>
    <row r="48" spans="1:15" ht="18.75" customHeight="1">
      <c r="A48" s="171">
        <v>12</v>
      </c>
      <c r="B48" s="174" t="s">
        <v>352</v>
      </c>
      <c r="C48" s="173" t="s">
        <v>353</v>
      </c>
      <c r="D48" s="860">
        <f>O114</f>
        <v>70000</v>
      </c>
      <c r="E48" s="860"/>
      <c r="F48" s="860"/>
      <c r="G48" s="855"/>
      <c r="H48" s="856"/>
      <c r="J48" s="244">
        <v>42</v>
      </c>
      <c r="K48" s="528" t="s">
        <v>624</v>
      </c>
      <c r="L48" s="244" t="s">
        <v>323</v>
      </c>
      <c r="M48" s="244">
        <v>1</v>
      </c>
      <c r="N48" s="851">
        <v>15000</v>
      </c>
      <c r="O48" s="851">
        <v>15000</v>
      </c>
    </row>
    <row r="49" spans="1:15" ht="18.75" customHeight="1">
      <c r="A49" s="171">
        <v>13</v>
      </c>
      <c r="B49" s="174" t="s">
        <v>354</v>
      </c>
      <c r="C49" s="173" t="s">
        <v>353</v>
      </c>
      <c r="D49" s="860">
        <f>O115</f>
        <v>140000</v>
      </c>
      <c r="E49" s="860"/>
      <c r="F49" s="860"/>
      <c r="G49" s="855"/>
      <c r="H49" s="856"/>
      <c r="J49" s="244">
        <v>43</v>
      </c>
      <c r="K49" s="528" t="s">
        <v>920</v>
      </c>
      <c r="L49" s="244" t="s">
        <v>323</v>
      </c>
      <c r="M49" s="244">
        <v>1</v>
      </c>
      <c r="N49" s="851">
        <v>1100000</v>
      </c>
      <c r="O49" s="851">
        <v>1100000</v>
      </c>
    </row>
    <row r="50" spans="1:15" ht="18.75" customHeight="1">
      <c r="A50" s="171">
        <v>15</v>
      </c>
      <c r="B50" s="174" t="s">
        <v>41</v>
      </c>
      <c r="C50" s="173" t="s">
        <v>355</v>
      </c>
      <c r="D50" s="860">
        <f>O183</f>
        <v>5000</v>
      </c>
      <c r="E50" s="860"/>
      <c r="F50" s="860"/>
      <c r="G50" s="855"/>
      <c r="H50" s="856"/>
      <c r="J50" s="244">
        <v>44</v>
      </c>
      <c r="K50" s="528" t="s">
        <v>921</v>
      </c>
      <c r="L50" s="244" t="s">
        <v>323</v>
      </c>
      <c r="M50" s="244">
        <v>1</v>
      </c>
      <c r="N50" s="851">
        <v>300000</v>
      </c>
      <c r="O50" s="851">
        <v>300000</v>
      </c>
    </row>
    <row r="51" spans="1:15" ht="18.75" customHeight="1">
      <c r="A51" s="171">
        <v>16</v>
      </c>
      <c r="B51" s="174" t="s">
        <v>356</v>
      </c>
      <c r="C51" s="173" t="s">
        <v>323</v>
      </c>
      <c r="D51" s="860">
        <f>O184</f>
        <v>20000</v>
      </c>
      <c r="E51" s="860"/>
      <c r="F51" s="860"/>
      <c r="G51" s="855"/>
      <c r="H51" s="856"/>
      <c r="J51" s="244">
        <v>45</v>
      </c>
      <c r="K51" s="528" t="s">
        <v>922</v>
      </c>
      <c r="L51" s="244" t="s">
        <v>323</v>
      </c>
      <c r="M51" s="244">
        <v>1</v>
      </c>
      <c r="N51" s="851">
        <v>198000</v>
      </c>
      <c r="O51" s="851">
        <v>198000</v>
      </c>
    </row>
    <row r="52" spans="1:15" ht="18.75" customHeight="1">
      <c r="A52" s="171">
        <v>17</v>
      </c>
      <c r="B52" s="174" t="s">
        <v>357</v>
      </c>
      <c r="C52" s="173" t="s">
        <v>323</v>
      </c>
      <c r="D52" s="860">
        <f>O185</f>
        <v>10000</v>
      </c>
      <c r="E52" s="860"/>
      <c r="F52" s="860"/>
      <c r="G52" s="855"/>
      <c r="H52" s="856"/>
      <c r="J52" s="244">
        <v>46</v>
      </c>
      <c r="K52" s="528" t="s">
        <v>923</v>
      </c>
      <c r="L52" s="244" t="s">
        <v>323</v>
      </c>
      <c r="M52" s="244">
        <v>1</v>
      </c>
      <c r="N52" s="851">
        <v>66000</v>
      </c>
      <c r="O52" s="851">
        <v>66000</v>
      </c>
    </row>
    <row r="53" spans="1:15" ht="18.75" customHeight="1">
      <c r="A53" s="171">
        <v>18</v>
      </c>
      <c r="B53" s="174" t="s">
        <v>358</v>
      </c>
      <c r="C53" s="173" t="s">
        <v>359</v>
      </c>
      <c r="D53" s="860">
        <f>O186</f>
        <v>2000</v>
      </c>
      <c r="E53" s="860"/>
      <c r="F53" s="860"/>
      <c r="G53" s="855"/>
      <c r="H53" s="856"/>
      <c r="J53" s="244">
        <v>47</v>
      </c>
      <c r="K53" s="528" t="s">
        <v>924</v>
      </c>
      <c r="L53" s="244" t="s">
        <v>323</v>
      </c>
      <c r="M53" s="244">
        <v>1</v>
      </c>
      <c r="N53" s="851">
        <v>4082000</v>
      </c>
      <c r="O53" s="851">
        <v>4082000</v>
      </c>
    </row>
    <row r="54" spans="1:15" ht="18.75" customHeight="1">
      <c r="A54" s="171">
        <v>19</v>
      </c>
      <c r="B54" s="396" t="s">
        <v>384</v>
      </c>
      <c r="C54" s="711" t="s">
        <v>143</v>
      </c>
      <c r="D54" s="860">
        <f>O194</f>
        <v>770</v>
      </c>
      <c r="E54" s="860"/>
      <c r="F54" s="860"/>
      <c r="G54" s="855"/>
      <c r="H54" s="856"/>
      <c r="J54" s="244">
        <v>48</v>
      </c>
      <c r="K54" s="528" t="s">
        <v>925</v>
      </c>
      <c r="L54" s="244" t="s">
        <v>359</v>
      </c>
      <c r="M54" s="244">
        <v>1</v>
      </c>
      <c r="N54" s="851">
        <v>15000</v>
      </c>
      <c r="O54" s="851">
        <v>15000</v>
      </c>
    </row>
    <row r="55" spans="1:15" ht="18.75" customHeight="1">
      <c r="A55" s="171">
        <v>20</v>
      </c>
      <c r="B55" s="397" t="s">
        <v>759</v>
      </c>
      <c r="C55" s="173" t="s">
        <v>361</v>
      </c>
      <c r="D55" s="860">
        <f>O146*2</f>
        <v>20000</v>
      </c>
      <c r="E55" s="860"/>
      <c r="F55" s="860"/>
      <c r="G55" s="855"/>
      <c r="H55" s="856"/>
      <c r="J55" s="244">
        <v>49</v>
      </c>
      <c r="K55" s="528" t="s">
        <v>625</v>
      </c>
      <c r="L55" s="244" t="s">
        <v>337</v>
      </c>
      <c r="M55" s="244">
        <v>1</v>
      </c>
      <c r="N55" s="851">
        <v>175000</v>
      </c>
      <c r="O55" s="851">
        <v>175000</v>
      </c>
    </row>
    <row r="56" spans="1:15" ht="18.75" customHeight="1">
      <c r="A56" s="171">
        <v>21</v>
      </c>
      <c r="B56" s="397" t="s">
        <v>760</v>
      </c>
      <c r="C56" s="173" t="s">
        <v>361</v>
      </c>
      <c r="D56" s="860">
        <f>O146*3</f>
        <v>30000</v>
      </c>
      <c r="E56" s="860"/>
      <c r="F56" s="860"/>
      <c r="G56" s="855"/>
      <c r="H56" s="856"/>
      <c r="J56" s="244">
        <v>50</v>
      </c>
      <c r="K56" s="528" t="s">
        <v>626</v>
      </c>
      <c r="L56" s="244" t="s">
        <v>323</v>
      </c>
      <c r="M56" s="244">
        <v>1</v>
      </c>
      <c r="N56" s="851">
        <v>83000</v>
      </c>
      <c r="O56" s="851">
        <v>83000</v>
      </c>
    </row>
    <row r="57" spans="1:15" ht="18.75" customHeight="1">
      <c r="A57" s="171">
        <v>22</v>
      </c>
      <c r="B57" s="174" t="s">
        <v>360</v>
      </c>
      <c r="C57" s="173" t="s">
        <v>361</v>
      </c>
      <c r="D57" s="860">
        <f>O146</f>
        <v>10000</v>
      </c>
      <c r="E57" s="860"/>
      <c r="F57" s="860"/>
      <c r="G57" s="855"/>
      <c r="H57" s="856"/>
      <c r="J57" s="244">
        <v>51</v>
      </c>
      <c r="K57" s="528" t="s">
        <v>926</v>
      </c>
      <c r="L57" s="244" t="s">
        <v>323</v>
      </c>
      <c r="M57" s="244">
        <v>1</v>
      </c>
      <c r="N57" s="851">
        <v>20000</v>
      </c>
      <c r="O57" s="851">
        <v>20000</v>
      </c>
    </row>
    <row r="58" spans="1:15" ht="18.75" customHeight="1">
      <c r="A58" s="171">
        <v>24</v>
      </c>
      <c r="B58" s="174" t="s">
        <v>362</v>
      </c>
      <c r="C58" s="173" t="s">
        <v>323</v>
      </c>
      <c r="D58" s="860">
        <f>O187</f>
        <v>3000</v>
      </c>
      <c r="E58" s="860"/>
      <c r="F58" s="860"/>
      <c r="G58" s="855"/>
      <c r="H58" s="856"/>
      <c r="J58" s="244">
        <v>52</v>
      </c>
      <c r="K58" s="528" t="s">
        <v>927</v>
      </c>
      <c r="L58" s="244" t="s">
        <v>752</v>
      </c>
      <c r="M58" s="244">
        <v>1</v>
      </c>
      <c r="N58" s="851">
        <v>50000</v>
      </c>
      <c r="O58" s="851">
        <v>50000</v>
      </c>
    </row>
    <row r="59" spans="1:15" ht="18.75" customHeight="1">
      <c r="A59" s="171">
        <v>25</v>
      </c>
      <c r="B59" s="397" t="s">
        <v>690</v>
      </c>
      <c r="C59" s="712" t="s">
        <v>323</v>
      </c>
      <c r="D59" s="860">
        <f>O67</f>
        <v>93000</v>
      </c>
      <c r="E59" s="860"/>
      <c r="F59" s="860"/>
      <c r="G59" s="855"/>
      <c r="H59" s="856"/>
      <c r="J59" s="244">
        <v>53</v>
      </c>
      <c r="K59" s="528" t="s">
        <v>629</v>
      </c>
      <c r="L59" s="244" t="s">
        <v>323</v>
      </c>
      <c r="M59" s="244">
        <v>1</v>
      </c>
      <c r="N59" s="851">
        <v>700000</v>
      </c>
      <c r="O59" s="851">
        <v>700000</v>
      </c>
    </row>
    <row r="60" spans="1:15" ht="21.75" customHeight="1">
      <c r="A60" s="171">
        <v>26</v>
      </c>
      <c r="B60" s="396" t="s">
        <v>761</v>
      </c>
      <c r="C60" s="173" t="s">
        <v>347</v>
      </c>
      <c r="D60" s="860">
        <f>O166*6</f>
        <v>3630000</v>
      </c>
      <c r="E60" s="860"/>
      <c r="F60" s="860"/>
      <c r="G60" s="855"/>
      <c r="H60" s="856"/>
      <c r="J60" s="244">
        <v>54</v>
      </c>
      <c r="K60" s="528" t="s">
        <v>928</v>
      </c>
      <c r="L60" s="244" t="s">
        <v>323</v>
      </c>
      <c r="M60" s="244">
        <v>1</v>
      </c>
      <c r="N60" s="851">
        <v>140000</v>
      </c>
      <c r="O60" s="851">
        <v>140000</v>
      </c>
    </row>
    <row r="61" spans="1:15" ht="18.75" customHeight="1">
      <c r="A61" s="171">
        <v>27</v>
      </c>
      <c r="B61" s="174" t="s">
        <v>364</v>
      </c>
      <c r="C61" s="173" t="s">
        <v>143</v>
      </c>
      <c r="D61" s="860">
        <f>O110</f>
        <v>10000</v>
      </c>
      <c r="E61" s="860"/>
      <c r="F61" s="860"/>
      <c r="G61" s="855"/>
      <c r="H61" s="856"/>
      <c r="J61" s="244">
        <v>55</v>
      </c>
      <c r="K61" s="528" t="s">
        <v>929</v>
      </c>
      <c r="L61" s="244" t="s">
        <v>323</v>
      </c>
      <c r="M61" s="244">
        <v>1</v>
      </c>
      <c r="N61" s="851">
        <v>500000</v>
      </c>
      <c r="O61" s="851">
        <v>500000</v>
      </c>
    </row>
    <row r="62" spans="1:15" ht="18.75" customHeight="1">
      <c r="A62" s="171">
        <v>28</v>
      </c>
      <c r="B62" s="174" t="s">
        <v>365</v>
      </c>
      <c r="C62" s="173" t="s">
        <v>347</v>
      </c>
      <c r="D62" s="860">
        <f>O167</f>
        <v>2200000</v>
      </c>
      <c r="E62" s="860"/>
      <c r="F62" s="860"/>
      <c r="G62" s="855"/>
      <c r="H62" s="856"/>
      <c r="J62" s="244">
        <v>57</v>
      </c>
      <c r="K62" s="528" t="s">
        <v>608</v>
      </c>
      <c r="L62" s="244" t="s">
        <v>323</v>
      </c>
      <c r="M62" s="244">
        <v>1</v>
      </c>
      <c r="N62" s="851">
        <v>50000</v>
      </c>
      <c r="O62" s="851">
        <v>50000</v>
      </c>
    </row>
    <row r="63" spans="1:15" ht="18.75" customHeight="1">
      <c r="A63" s="171">
        <v>29</v>
      </c>
      <c r="B63" s="174" t="s">
        <v>749</v>
      </c>
      <c r="C63" s="173" t="s">
        <v>143</v>
      </c>
      <c r="D63" s="860">
        <f>O179</f>
        <v>1000</v>
      </c>
      <c r="E63" s="860"/>
      <c r="F63" s="860"/>
      <c r="G63" s="855"/>
      <c r="H63" s="856"/>
      <c r="J63" s="244">
        <v>58</v>
      </c>
      <c r="K63" s="528" t="s">
        <v>927</v>
      </c>
      <c r="L63" s="244" t="s">
        <v>752</v>
      </c>
      <c r="M63" s="244">
        <v>1</v>
      </c>
      <c r="N63" s="851">
        <v>50000</v>
      </c>
      <c r="O63" s="851">
        <v>50000</v>
      </c>
    </row>
    <row r="64" spans="1:15">
      <c r="A64" s="171">
        <v>30</v>
      </c>
      <c r="B64" s="245" t="s">
        <v>750</v>
      </c>
      <c r="C64" s="173" t="s">
        <v>143</v>
      </c>
      <c r="D64" s="860">
        <f>O181</f>
        <v>1000</v>
      </c>
      <c r="E64" s="860"/>
      <c r="F64" s="860"/>
      <c r="G64" s="855"/>
      <c r="H64" s="856"/>
      <c r="J64" s="244">
        <v>59</v>
      </c>
      <c r="K64" s="528" t="s">
        <v>930</v>
      </c>
      <c r="L64" s="244" t="s">
        <v>323</v>
      </c>
      <c r="M64" s="244">
        <v>1</v>
      </c>
      <c r="N64" s="851">
        <v>2000000</v>
      </c>
      <c r="O64" s="851">
        <v>2000000</v>
      </c>
    </row>
    <row r="65" spans="1:15" ht="16" thickBot="1">
      <c r="A65" s="713">
        <v>31</v>
      </c>
      <c r="B65" s="716" t="s">
        <v>751</v>
      </c>
      <c r="C65" s="714" t="s">
        <v>752</v>
      </c>
      <c r="D65" s="866">
        <f>O126</f>
        <v>10000</v>
      </c>
      <c r="E65" s="866"/>
      <c r="F65" s="866"/>
      <c r="G65" s="867"/>
      <c r="H65" s="868"/>
      <c r="J65" s="244">
        <v>60</v>
      </c>
      <c r="K65" s="528" t="s">
        <v>632</v>
      </c>
      <c r="L65" s="244" t="s">
        <v>323</v>
      </c>
      <c r="M65" s="244">
        <v>1</v>
      </c>
      <c r="N65" s="851">
        <v>2400000</v>
      </c>
      <c r="O65" s="851">
        <v>2400000</v>
      </c>
    </row>
    <row r="66" spans="1:15">
      <c r="J66" s="244">
        <v>61</v>
      </c>
      <c r="K66" s="528" t="s">
        <v>607</v>
      </c>
      <c r="L66" s="244" t="s">
        <v>323</v>
      </c>
      <c r="M66" s="244">
        <v>1</v>
      </c>
      <c r="N66" s="851">
        <v>87000</v>
      </c>
      <c r="O66" s="851">
        <v>87000</v>
      </c>
    </row>
    <row r="67" spans="1:15">
      <c r="J67" s="244">
        <v>62</v>
      </c>
      <c r="K67" s="528" t="s">
        <v>931</v>
      </c>
      <c r="L67" s="244" t="s">
        <v>323</v>
      </c>
      <c r="M67" s="244">
        <v>1</v>
      </c>
      <c r="N67" s="851">
        <v>93000</v>
      </c>
      <c r="O67" s="851">
        <v>93000</v>
      </c>
    </row>
    <row r="68" spans="1:15">
      <c r="J68" s="244">
        <v>63</v>
      </c>
      <c r="K68" s="528" t="s">
        <v>652</v>
      </c>
      <c r="L68" s="244" t="s">
        <v>323</v>
      </c>
      <c r="M68" s="244">
        <v>1</v>
      </c>
      <c r="N68" s="851">
        <v>247000</v>
      </c>
      <c r="O68" s="851">
        <v>247000</v>
      </c>
    </row>
    <row r="69" spans="1:15">
      <c r="J69" s="244">
        <v>64</v>
      </c>
      <c r="K69" s="528" t="s">
        <v>932</v>
      </c>
      <c r="L69" s="244" t="s">
        <v>323</v>
      </c>
      <c r="M69" s="244">
        <v>1</v>
      </c>
      <c r="N69" s="851">
        <v>175000</v>
      </c>
      <c r="O69" s="851">
        <v>175000</v>
      </c>
    </row>
    <row r="70" spans="1:15">
      <c r="J70" s="244">
        <v>65</v>
      </c>
      <c r="K70" s="528" t="s">
        <v>656</v>
      </c>
      <c r="L70" s="244" t="s">
        <v>933</v>
      </c>
      <c r="M70" s="244">
        <v>1</v>
      </c>
      <c r="N70" s="851">
        <v>2226</v>
      </c>
      <c r="O70" s="851">
        <v>2226</v>
      </c>
    </row>
    <row r="71" spans="1:15">
      <c r="J71" s="244">
        <v>66</v>
      </c>
      <c r="K71" s="528" t="s">
        <v>934</v>
      </c>
      <c r="L71" s="244" t="s">
        <v>323</v>
      </c>
      <c r="M71" s="244">
        <v>1</v>
      </c>
      <c r="N71" s="851">
        <v>819000</v>
      </c>
      <c r="O71" s="851">
        <v>819000</v>
      </c>
    </row>
    <row r="72" spans="1:15">
      <c r="J72" s="244">
        <v>67</v>
      </c>
      <c r="K72" s="528" t="s">
        <v>935</v>
      </c>
      <c r="L72" s="244" t="s">
        <v>323</v>
      </c>
      <c r="M72" s="244">
        <v>1</v>
      </c>
      <c r="N72" s="851">
        <v>285000</v>
      </c>
      <c r="O72" s="851">
        <v>285000</v>
      </c>
    </row>
    <row r="73" spans="1:15">
      <c r="J73" s="244">
        <v>68</v>
      </c>
      <c r="K73" s="528" t="s">
        <v>324</v>
      </c>
      <c r="L73" s="244" t="s">
        <v>323</v>
      </c>
      <c r="M73" s="244">
        <v>1</v>
      </c>
      <c r="N73" s="851">
        <v>300000</v>
      </c>
      <c r="O73" s="851">
        <v>300000</v>
      </c>
    </row>
    <row r="74" spans="1:15">
      <c r="J74" s="244">
        <v>69</v>
      </c>
      <c r="K74" s="528" t="s">
        <v>936</v>
      </c>
      <c r="L74" s="244" t="s">
        <v>333</v>
      </c>
      <c r="M74" s="244">
        <v>1</v>
      </c>
      <c r="N74" s="851">
        <v>25000</v>
      </c>
      <c r="O74" s="851">
        <v>25000</v>
      </c>
    </row>
    <row r="75" spans="1:15">
      <c r="J75" s="244">
        <v>70</v>
      </c>
      <c r="K75" s="528" t="s">
        <v>937</v>
      </c>
      <c r="L75" s="244" t="s">
        <v>323</v>
      </c>
      <c r="M75" s="244">
        <v>1</v>
      </c>
      <c r="N75" s="851">
        <v>150000</v>
      </c>
      <c r="O75" s="851">
        <v>150000</v>
      </c>
    </row>
    <row r="76" spans="1:15">
      <c r="J76" s="244">
        <v>71</v>
      </c>
      <c r="K76" s="528" t="s">
        <v>938</v>
      </c>
      <c r="L76" s="244" t="s">
        <v>323</v>
      </c>
      <c r="M76" s="244">
        <v>1</v>
      </c>
      <c r="N76" s="851">
        <v>1660000</v>
      </c>
      <c r="O76" s="851">
        <v>1660000</v>
      </c>
    </row>
    <row r="77" spans="1:15">
      <c r="J77" s="244">
        <v>72</v>
      </c>
      <c r="K77" s="528" t="s">
        <v>47</v>
      </c>
      <c r="L77" s="244" t="s">
        <v>323</v>
      </c>
      <c r="M77" s="244">
        <v>1</v>
      </c>
      <c r="N77" s="851">
        <v>1500000</v>
      </c>
      <c r="O77" s="851">
        <v>1500000</v>
      </c>
    </row>
    <row r="78" spans="1:15">
      <c r="J78" s="244">
        <v>73</v>
      </c>
      <c r="K78" s="528" t="s">
        <v>939</v>
      </c>
      <c r="L78" s="244" t="s">
        <v>323</v>
      </c>
      <c r="M78" s="244">
        <v>1</v>
      </c>
      <c r="N78" s="851">
        <v>600000</v>
      </c>
      <c r="O78" s="851">
        <v>600000</v>
      </c>
    </row>
    <row r="79" spans="1:15">
      <c r="J79" s="244">
        <v>74</v>
      </c>
      <c r="K79" s="528" t="s">
        <v>322</v>
      </c>
      <c r="L79" s="244" t="s">
        <v>323</v>
      </c>
      <c r="M79" s="244">
        <v>1</v>
      </c>
      <c r="N79" s="851">
        <v>100000</v>
      </c>
      <c r="O79" s="851">
        <v>100000</v>
      </c>
    </row>
    <row r="80" spans="1:15">
      <c r="J80" s="244">
        <v>75</v>
      </c>
      <c r="K80" s="528" t="s">
        <v>336</v>
      </c>
      <c r="L80" s="244" t="s">
        <v>323</v>
      </c>
      <c r="M80" s="244">
        <v>1</v>
      </c>
      <c r="N80" s="851">
        <v>165000</v>
      </c>
      <c r="O80" s="851">
        <v>165000</v>
      </c>
    </row>
    <row r="81" spans="10:15">
      <c r="J81" s="244">
        <v>76</v>
      </c>
      <c r="K81" s="528" t="s">
        <v>940</v>
      </c>
      <c r="L81" s="244" t="s">
        <v>323</v>
      </c>
      <c r="M81" s="244">
        <v>1</v>
      </c>
      <c r="N81" s="851">
        <v>2150000</v>
      </c>
      <c r="O81" s="851">
        <v>2150000</v>
      </c>
    </row>
    <row r="82" spans="10:15">
      <c r="J82" s="244">
        <v>77</v>
      </c>
      <c r="K82" s="528" t="s">
        <v>941</v>
      </c>
      <c r="L82" s="244" t="s">
        <v>323</v>
      </c>
      <c r="M82" s="244">
        <v>1</v>
      </c>
      <c r="N82" s="851">
        <v>2145000</v>
      </c>
      <c r="O82" s="851">
        <v>2145000</v>
      </c>
    </row>
    <row r="83" spans="10:15">
      <c r="J83" s="244">
        <v>78</v>
      </c>
      <c r="K83" s="528" t="s">
        <v>942</v>
      </c>
      <c r="L83" s="244" t="s">
        <v>323</v>
      </c>
      <c r="M83" s="244">
        <v>1</v>
      </c>
      <c r="N83" s="851">
        <v>290000</v>
      </c>
      <c r="O83" s="851">
        <v>290000</v>
      </c>
    </row>
    <row r="84" spans="10:15">
      <c r="J84" s="244">
        <v>79</v>
      </c>
      <c r="K84" s="528" t="s">
        <v>943</v>
      </c>
      <c r="L84" s="244" t="s">
        <v>323</v>
      </c>
      <c r="M84" s="244">
        <v>1</v>
      </c>
      <c r="N84" s="851">
        <v>1977000</v>
      </c>
      <c r="O84" s="851">
        <v>1977000</v>
      </c>
    </row>
    <row r="85" spans="10:15">
      <c r="J85" s="244">
        <v>80</v>
      </c>
      <c r="K85" s="528" t="s">
        <v>335</v>
      </c>
      <c r="L85" s="244" t="s">
        <v>323</v>
      </c>
      <c r="M85" s="244">
        <v>1</v>
      </c>
      <c r="N85" s="851">
        <v>2640000</v>
      </c>
      <c r="O85" s="851">
        <v>2640000</v>
      </c>
    </row>
    <row r="86" spans="10:15">
      <c r="J86" s="244">
        <v>81</v>
      </c>
      <c r="K86" s="528" t="s">
        <v>605</v>
      </c>
      <c r="L86" s="244" t="s">
        <v>323</v>
      </c>
      <c r="M86" s="244">
        <v>1</v>
      </c>
      <c r="N86" s="851">
        <v>2250000</v>
      </c>
      <c r="O86" s="851">
        <v>2250000</v>
      </c>
    </row>
    <row r="87" spans="10:15">
      <c r="J87" s="244">
        <v>82</v>
      </c>
      <c r="K87" s="528" t="s">
        <v>606</v>
      </c>
      <c r="L87" s="244" t="s">
        <v>323</v>
      </c>
      <c r="M87" s="244">
        <v>1</v>
      </c>
      <c r="N87" s="851">
        <v>220000</v>
      </c>
      <c r="O87" s="851">
        <v>220000</v>
      </c>
    </row>
    <row r="88" spans="10:15">
      <c r="J88" s="244">
        <v>83</v>
      </c>
      <c r="K88" s="528" t="s">
        <v>944</v>
      </c>
      <c r="L88" s="244" t="s">
        <v>323</v>
      </c>
      <c r="M88" s="244">
        <v>1</v>
      </c>
      <c r="N88" s="851">
        <v>275000</v>
      </c>
      <c r="O88" s="851">
        <v>275000</v>
      </c>
    </row>
    <row r="89" spans="10:15">
      <c r="J89" s="244">
        <v>84</v>
      </c>
      <c r="K89" s="528" t="s">
        <v>945</v>
      </c>
      <c r="L89" s="244" t="s">
        <v>323</v>
      </c>
      <c r="M89" s="244">
        <v>1</v>
      </c>
      <c r="N89" s="851">
        <v>27000</v>
      </c>
      <c r="O89" s="851">
        <v>27000</v>
      </c>
    </row>
    <row r="90" spans="10:15">
      <c r="J90" s="244">
        <v>85</v>
      </c>
      <c r="K90" s="528" t="s">
        <v>946</v>
      </c>
      <c r="L90" s="244" t="s">
        <v>752</v>
      </c>
      <c r="M90" s="244">
        <v>1</v>
      </c>
      <c r="N90" s="851">
        <v>83000</v>
      </c>
      <c r="O90" s="851">
        <v>83000</v>
      </c>
    </row>
    <row r="91" spans="10:15">
      <c r="J91" s="244">
        <v>86</v>
      </c>
      <c r="K91" s="528" t="s">
        <v>947</v>
      </c>
      <c r="L91" s="244" t="s">
        <v>333</v>
      </c>
      <c r="M91" s="244">
        <v>1</v>
      </c>
      <c r="N91" s="851">
        <v>145000</v>
      </c>
      <c r="O91" s="851">
        <v>145000</v>
      </c>
    </row>
    <row r="92" spans="10:15">
      <c r="J92" s="244">
        <v>87</v>
      </c>
      <c r="K92" s="528" t="s">
        <v>328</v>
      </c>
      <c r="L92" s="244" t="s">
        <v>323</v>
      </c>
      <c r="M92" s="244">
        <v>1</v>
      </c>
      <c r="N92" s="851">
        <v>100000</v>
      </c>
      <c r="O92" s="851">
        <v>100000</v>
      </c>
    </row>
    <row r="93" spans="10:15">
      <c r="J93" s="244">
        <v>88</v>
      </c>
      <c r="K93" s="528" t="s">
        <v>948</v>
      </c>
      <c r="L93" s="244" t="s">
        <v>323</v>
      </c>
      <c r="M93" s="244">
        <v>1</v>
      </c>
      <c r="N93" s="851">
        <v>300000</v>
      </c>
      <c r="O93" s="851">
        <v>300000</v>
      </c>
    </row>
    <row r="94" spans="10:15">
      <c r="J94" s="244">
        <v>89</v>
      </c>
      <c r="K94" s="528" t="s">
        <v>949</v>
      </c>
      <c r="L94" s="244" t="s">
        <v>323</v>
      </c>
      <c r="M94" s="244">
        <v>1</v>
      </c>
      <c r="N94" s="851">
        <v>37000</v>
      </c>
      <c r="O94" s="851">
        <v>37000</v>
      </c>
    </row>
    <row r="95" spans="10:15">
      <c r="J95" s="244">
        <v>90</v>
      </c>
      <c r="K95" s="528" t="s">
        <v>950</v>
      </c>
      <c r="L95" s="244" t="s">
        <v>323</v>
      </c>
      <c r="M95" s="244">
        <v>1</v>
      </c>
      <c r="N95" s="851">
        <v>185000</v>
      </c>
      <c r="O95" s="851">
        <v>185000</v>
      </c>
    </row>
    <row r="96" spans="10:15">
      <c r="J96" s="244">
        <v>91</v>
      </c>
      <c r="K96" s="528" t="s">
        <v>951</v>
      </c>
      <c r="L96" s="244" t="s">
        <v>323</v>
      </c>
      <c r="M96" s="244">
        <v>1</v>
      </c>
      <c r="N96" s="851">
        <v>500000</v>
      </c>
      <c r="O96" s="851">
        <v>500000</v>
      </c>
    </row>
    <row r="97" spans="10:15">
      <c r="J97" s="244">
        <v>92</v>
      </c>
      <c r="K97" s="528" t="s">
        <v>331</v>
      </c>
      <c r="L97" s="244" t="s">
        <v>323</v>
      </c>
      <c r="M97" s="244">
        <v>1</v>
      </c>
      <c r="N97" s="851">
        <v>46000</v>
      </c>
      <c r="O97" s="851">
        <v>46000</v>
      </c>
    </row>
    <row r="98" spans="10:15">
      <c r="J98" s="244">
        <v>93</v>
      </c>
      <c r="K98" s="528" t="s">
        <v>334</v>
      </c>
      <c r="L98" s="244" t="s">
        <v>323</v>
      </c>
      <c r="M98" s="244">
        <v>1</v>
      </c>
      <c r="N98" s="851">
        <v>11500</v>
      </c>
      <c r="O98" s="851">
        <v>11500</v>
      </c>
    </row>
    <row r="99" spans="10:15">
      <c r="J99" s="244">
        <v>94</v>
      </c>
      <c r="K99" s="528" t="s">
        <v>630</v>
      </c>
      <c r="L99" s="244" t="s">
        <v>323</v>
      </c>
      <c r="M99" s="244">
        <v>1</v>
      </c>
      <c r="N99" s="851">
        <v>690000</v>
      </c>
      <c r="O99" s="851">
        <v>690000</v>
      </c>
    </row>
    <row r="100" spans="10:15">
      <c r="J100" s="244">
        <v>95</v>
      </c>
      <c r="K100" s="528" t="s">
        <v>952</v>
      </c>
      <c r="L100" s="244" t="s">
        <v>323</v>
      </c>
      <c r="M100" s="244">
        <v>1</v>
      </c>
      <c r="N100" s="851">
        <v>200000</v>
      </c>
      <c r="O100" s="851">
        <v>200000</v>
      </c>
    </row>
    <row r="101" spans="10:15">
      <c r="J101" s="244">
        <v>96</v>
      </c>
      <c r="K101" s="528" t="s">
        <v>649</v>
      </c>
      <c r="L101" s="244" t="s">
        <v>323</v>
      </c>
      <c r="M101" s="244">
        <v>1</v>
      </c>
      <c r="N101" s="851">
        <v>19000</v>
      </c>
      <c r="O101" s="851">
        <v>19000</v>
      </c>
    </row>
    <row r="102" spans="10:15">
      <c r="J102" s="244">
        <v>97</v>
      </c>
      <c r="K102" s="528" t="s">
        <v>953</v>
      </c>
      <c r="L102" s="244" t="s">
        <v>323</v>
      </c>
      <c r="M102" s="244">
        <v>1</v>
      </c>
      <c r="N102" s="851">
        <v>2459200</v>
      </c>
      <c r="O102" s="851">
        <v>2459200</v>
      </c>
    </row>
    <row r="103" spans="10:15">
      <c r="J103" s="244">
        <v>98</v>
      </c>
      <c r="K103" s="528" t="s">
        <v>954</v>
      </c>
      <c r="L103" s="244" t="s">
        <v>337</v>
      </c>
      <c r="M103" s="244">
        <v>1</v>
      </c>
      <c r="N103" s="851">
        <v>295000</v>
      </c>
      <c r="O103" s="851">
        <v>295000</v>
      </c>
    </row>
    <row r="104" spans="10:15">
      <c r="J104" s="244">
        <v>99</v>
      </c>
      <c r="K104" s="528" t="s">
        <v>955</v>
      </c>
      <c r="L104" s="244" t="s">
        <v>323</v>
      </c>
      <c r="M104" s="244">
        <v>1</v>
      </c>
      <c r="N104" s="851">
        <v>2890000</v>
      </c>
      <c r="O104" s="851">
        <v>2890000</v>
      </c>
    </row>
    <row r="105" spans="10:15">
      <c r="J105" s="167" t="s">
        <v>105</v>
      </c>
      <c r="K105" s="172" t="s">
        <v>956</v>
      </c>
      <c r="L105" s="244"/>
      <c r="M105" s="167"/>
      <c r="N105" s="851">
        <v>0</v>
      </c>
      <c r="O105" s="851">
        <v>0</v>
      </c>
    </row>
    <row r="106" spans="10:15">
      <c r="J106" s="244">
        <v>1</v>
      </c>
      <c r="K106" s="528" t="s">
        <v>957</v>
      </c>
      <c r="L106" s="244" t="s">
        <v>143</v>
      </c>
      <c r="M106" s="244">
        <v>1</v>
      </c>
      <c r="N106" s="851">
        <v>400000</v>
      </c>
      <c r="O106" s="851">
        <v>400000</v>
      </c>
    </row>
    <row r="107" spans="10:15">
      <c r="J107" s="244">
        <v>2</v>
      </c>
      <c r="K107" s="528" t="s">
        <v>639</v>
      </c>
      <c r="L107" s="244" t="s">
        <v>638</v>
      </c>
      <c r="M107" s="244">
        <v>1</v>
      </c>
      <c r="N107" s="851">
        <v>10000</v>
      </c>
      <c r="O107" s="851">
        <v>10000</v>
      </c>
    </row>
    <row r="108" spans="10:15">
      <c r="J108" s="244">
        <v>3</v>
      </c>
      <c r="K108" s="528" t="s">
        <v>647</v>
      </c>
      <c r="L108" s="244" t="s">
        <v>638</v>
      </c>
      <c r="M108" s="244">
        <v>1</v>
      </c>
      <c r="N108" s="851">
        <v>10000</v>
      </c>
      <c r="O108" s="851">
        <v>10000</v>
      </c>
    </row>
    <row r="109" spans="10:15">
      <c r="J109" s="244">
        <v>4</v>
      </c>
      <c r="K109" s="528" t="s">
        <v>958</v>
      </c>
      <c r="L109" s="244" t="s">
        <v>143</v>
      </c>
      <c r="M109" s="244">
        <v>1</v>
      </c>
      <c r="N109" s="851">
        <v>1000</v>
      </c>
      <c r="O109" s="851">
        <v>1000</v>
      </c>
    </row>
    <row r="110" spans="10:15" ht="18.5">
      <c r="J110" s="244">
        <v>5</v>
      </c>
      <c r="K110" s="528" t="s">
        <v>959</v>
      </c>
      <c r="L110" s="244" t="s">
        <v>143</v>
      </c>
      <c r="M110" s="244">
        <v>1</v>
      </c>
      <c r="N110" s="851">
        <v>10000</v>
      </c>
      <c r="O110" s="851">
        <v>10000</v>
      </c>
    </row>
    <row r="111" spans="10:15">
      <c r="J111" s="244">
        <v>6</v>
      </c>
      <c r="K111" s="528" t="s">
        <v>960</v>
      </c>
      <c r="L111" s="244" t="s">
        <v>337</v>
      </c>
      <c r="M111" s="244">
        <v>1</v>
      </c>
      <c r="N111" s="851">
        <v>1000</v>
      </c>
      <c r="O111" s="851">
        <v>1000</v>
      </c>
    </row>
    <row r="112" spans="10:15">
      <c r="J112" s="244">
        <v>7</v>
      </c>
      <c r="K112" s="528" t="s">
        <v>961</v>
      </c>
      <c r="L112" s="244" t="s">
        <v>337</v>
      </c>
      <c r="M112" s="244">
        <v>1</v>
      </c>
      <c r="N112" s="851">
        <v>20000</v>
      </c>
      <c r="O112" s="851">
        <v>20000</v>
      </c>
    </row>
    <row r="113" spans="10:15">
      <c r="J113" s="244">
        <v>8</v>
      </c>
      <c r="K113" s="528" t="s">
        <v>962</v>
      </c>
      <c r="L113" s="244" t="s">
        <v>337</v>
      </c>
      <c r="M113" s="244">
        <v>1</v>
      </c>
      <c r="N113" s="851">
        <v>20000</v>
      </c>
      <c r="O113" s="851">
        <v>20000</v>
      </c>
    </row>
    <row r="114" spans="10:15">
      <c r="J114" s="244">
        <v>9</v>
      </c>
      <c r="K114" s="528" t="s">
        <v>352</v>
      </c>
      <c r="L114" s="244" t="s">
        <v>353</v>
      </c>
      <c r="M114" s="244">
        <v>1</v>
      </c>
      <c r="N114" s="851">
        <v>70000</v>
      </c>
      <c r="O114" s="851">
        <v>70000</v>
      </c>
    </row>
    <row r="115" spans="10:15">
      <c r="J115" s="244">
        <v>10</v>
      </c>
      <c r="K115" s="528" t="s">
        <v>354</v>
      </c>
      <c r="L115" s="244" t="s">
        <v>353</v>
      </c>
      <c r="M115" s="244">
        <v>1</v>
      </c>
      <c r="N115" s="851">
        <v>140000</v>
      </c>
      <c r="O115" s="851">
        <v>140000</v>
      </c>
    </row>
    <row r="116" spans="10:15">
      <c r="J116" s="244">
        <v>11</v>
      </c>
      <c r="K116" s="528" t="s">
        <v>963</v>
      </c>
      <c r="L116" s="244" t="s">
        <v>964</v>
      </c>
      <c r="M116" s="244">
        <v>1</v>
      </c>
      <c r="N116" s="851">
        <v>11000</v>
      </c>
      <c r="O116" s="851">
        <v>11000</v>
      </c>
    </row>
    <row r="117" spans="10:15">
      <c r="J117" s="244">
        <v>12</v>
      </c>
      <c r="K117" s="528" t="s">
        <v>965</v>
      </c>
      <c r="L117" s="244" t="s">
        <v>143</v>
      </c>
      <c r="M117" s="244">
        <v>1</v>
      </c>
      <c r="N117" s="851">
        <v>1650</v>
      </c>
      <c r="O117" s="851">
        <v>1650</v>
      </c>
    </row>
    <row r="118" spans="10:15">
      <c r="J118" s="244">
        <v>13</v>
      </c>
      <c r="K118" s="528" t="s">
        <v>966</v>
      </c>
      <c r="L118" s="244" t="s">
        <v>143</v>
      </c>
      <c r="M118" s="244">
        <v>1</v>
      </c>
      <c r="N118" s="851">
        <v>1000</v>
      </c>
      <c r="O118" s="851">
        <v>1000</v>
      </c>
    </row>
    <row r="119" spans="10:15">
      <c r="J119" s="244">
        <v>14</v>
      </c>
      <c r="K119" s="528" t="s">
        <v>967</v>
      </c>
      <c r="L119" s="244" t="s">
        <v>143</v>
      </c>
      <c r="M119" s="244">
        <v>1</v>
      </c>
      <c r="N119" s="851">
        <v>1500</v>
      </c>
      <c r="O119" s="851">
        <v>1500</v>
      </c>
    </row>
    <row r="120" spans="10:15">
      <c r="J120" s="244">
        <v>15</v>
      </c>
      <c r="K120" s="528" t="s">
        <v>640</v>
      </c>
      <c r="L120" s="244" t="s">
        <v>641</v>
      </c>
      <c r="M120" s="244">
        <v>1</v>
      </c>
      <c r="N120" s="851">
        <v>225000</v>
      </c>
      <c r="O120" s="851">
        <v>225000</v>
      </c>
    </row>
    <row r="121" spans="10:15">
      <c r="J121" s="244">
        <v>16</v>
      </c>
      <c r="K121" s="528" t="s">
        <v>968</v>
      </c>
      <c r="L121" s="244" t="s">
        <v>752</v>
      </c>
      <c r="M121" s="244">
        <v>1</v>
      </c>
      <c r="N121" s="851">
        <v>8500</v>
      </c>
      <c r="O121" s="851">
        <v>8500</v>
      </c>
    </row>
    <row r="122" spans="10:15">
      <c r="J122" s="244">
        <v>17</v>
      </c>
      <c r="K122" s="528" t="s">
        <v>969</v>
      </c>
      <c r="L122" s="244" t="s">
        <v>752</v>
      </c>
      <c r="M122" s="244">
        <v>1</v>
      </c>
      <c r="N122" s="851">
        <v>8500</v>
      </c>
      <c r="O122" s="851">
        <v>8500</v>
      </c>
    </row>
    <row r="123" spans="10:15">
      <c r="J123" s="244">
        <v>18</v>
      </c>
      <c r="K123" s="528" t="s">
        <v>970</v>
      </c>
      <c r="L123" s="244" t="s">
        <v>752</v>
      </c>
      <c r="M123" s="244">
        <v>1</v>
      </c>
      <c r="N123" s="851">
        <v>8500</v>
      </c>
      <c r="O123" s="851">
        <v>8500</v>
      </c>
    </row>
    <row r="124" spans="10:15">
      <c r="J124" s="244">
        <v>19</v>
      </c>
      <c r="K124" s="528" t="s">
        <v>971</v>
      </c>
      <c r="L124" s="244" t="s">
        <v>752</v>
      </c>
      <c r="M124" s="244">
        <v>1</v>
      </c>
      <c r="N124" s="851">
        <v>8500</v>
      </c>
      <c r="O124" s="851">
        <v>8500</v>
      </c>
    </row>
    <row r="125" spans="10:15">
      <c r="J125" s="244">
        <v>20</v>
      </c>
      <c r="K125" s="528" t="s">
        <v>653</v>
      </c>
      <c r="L125" s="244" t="s">
        <v>752</v>
      </c>
      <c r="M125" s="244">
        <v>1</v>
      </c>
      <c r="N125" s="851">
        <v>10000</v>
      </c>
      <c r="O125" s="851">
        <v>10000</v>
      </c>
    </row>
    <row r="126" spans="10:15">
      <c r="J126" s="244">
        <v>21</v>
      </c>
      <c r="K126" s="528" t="s">
        <v>972</v>
      </c>
      <c r="L126" s="244" t="s">
        <v>752</v>
      </c>
      <c r="M126" s="244">
        <v>1</v>
      </c>
      <c r="N126" s="851">
        <v>10000</v>
      </c>
      <c r="O126" s="851">
        <v>10000</v>
      </c>
    </row>
    <row r="127" spans="10:15">
      <c r="J127" s="244">
        <v>22</v>
      </c>
      <c r="K127" s="528" t="s">
        <v>973</v>
      </c>
      <c r="L127" s="244" t="s">
        <v>752</v>
      </c>
      <c r="M127" s="244">
        <v>1</v>
      </c>
      <c r="N127" s="851">
        <v>8500</v>
      </c>
      <c r="O127" s="851">
        <v>8500</v>
      </c>
    </row>
    <row r="128" spans="10:15">
      <c r="J128" s="244">
        <v>23</v>
      </c>
      <c r="K128" s="528" t="s">
        <v>974</v>
      </c>
      <c r="L128" s="244" t="s">
        <v>752</v>
      </c>
      <c r="M128" s="244">
        <v>1</v>
      </c>
      <c r="N128" s="851">
        <v>8500</v>
      </c>
      <c r="O128" s="851">
        <v>8500</v>
      </c>
    </row>
    <row r="129" spans="10:15">
      <c r="J129" s="244">
        <v>24</v>
      </c>
      <c r="K129" s="528" t="s">
        <v>642</v>
      </c>
      <c r="L129" s="244" t="s">
        <v>641</v>
      </c>
      <c r="M129" s="244">
        <v>1</v>
      </c>
      <c r="N129" s="851">
        <v>1650</v>
      </c>
      <c r="O129" s="851">
        <v>1650</v>
      </c>
    </row>
    <row r="130" spans="10:15" ht="18.5">
      <c r="J130" s="244">
        <v>25</v>
      </c>
      <c r="K130" s="528" t="s">
        <v>643</v>
      </c>
      <c r="L130" s="244" t="s">
        <v>975</v>
      </c>
      <c r="M130" s="244">
        <v>1</v>
      </c>
      <c r="N130" s="851">
        <v>317262</v>
      </c>
      <c r="O130" s="851">
        <v>317262</v>
      </c>
    </row>
    <row r="131" spans="10:15" ht="18.5">
      <c r="J131" s="244">
        <v>26</v>
      </c>
      <c r="K131" s="528" t="s">
        <v>644</v>
      </c>
      <c r="L131" s="244" t="s">
        <v>975</v>
      </c>
      <c r="M131" s="244">
        <v>1</v>
      </c>
      <c r="N131" s="851">
        <v>240741</v>
      </c>
      <c r="O131" s="851">
        <v>240741</v>
      </c>
    </row>
    <row r="132" spans="10:15">
      <c r="J132" s="244">
        <v>27</v>
      </c>
      <c r="K132" s="528" t="s">
        <v>976</v>
      </c>
      <c r="L132" s="244" t="s">
        <v>323</v>
      </c>
      <c r="M132" s="244">
        <v>1</v>
      </c>
      <c r="N132" s="851">
        <v>4000</v>
      </c>
      <c r="O132" s="851">
        <v>4000</v>
      </c>
    </row>
    <row r="133" spans="10:15" ht="18.5">
      <c r="J133" s="244">
        <v>28</v>
      </c>
      <c r="K133" s="528" t="s">
        <v>977</v>
      </c>
      <c r="L133" s="244" t="s">
        <v>975</v>
      </c>
      <c r="M133" s="244">
        <v>1</v>
      </c>
      <c r="N133" s="851">
        <v>5455000</v>
      </c>
      <c r="O133" s="851">
        <v>5455000</v>
      </c>
    </row>
    <row r="134" spans="10:15">
      <c r="J134" s="244">
        <v>29</v>
      </c>
      <c r="K134" s="528" t="s">
        <v>645</v>
      </c>
      <c r="L134" s="244" t="s">
        <v>641</v>
      </c>
      <c r="M134" s="244">
        <v>1</v>
      </c>
      <c r="N134" s="851">
        <v>24000</v>
      </c>
      <c r="O134" s="851">
        <v>24000</v>
      </c>
    </row>
    <row r="135" spans="10:15">
      <c r="J135" s="244">
        <v>30</v>
      </c>
      <c r="K135" s="528" t="s">
        <v>978</v>
      </c>
      <c r="L135" s="244" t="s">
        <v>323</v>
      </c>
      <c r="M135" s="244">
        <v>1</v>
      </c>
      <c r="N135" s="851">
        <v>500000</v>
      </c>
      <c r="O135" s="851">
        <v>500000</v>
      </c>
    </row>
    <row r="136" spans="10:15">
      <c r="J136" s="244">
        <v>31</v>
      </c>
      <c r="K136" s="528" t="s">
        <v>979</v>
      </c>
      <c r="L136" s="244" t="s">
        <v>641</v>
      </c>
      <c r="M136" s="244">
        <v>1</v>
      </c>
      <c r="N136" s="851">
        <v>14500</v>
      </c>
      <c r="O136" s="851">
        <v>14500</v>
      </c>
    </row>
    <row r="137" spans="10:15">
      <c r="J137" s="244">
        <v>32</v>
      </c>
      <c r="K137" s="528" t="s">
        <v>980</v>
      </c>
      <c r="L137" s="244" t="s">
        <v>981</v>
      </c>
      <c r="M137" s="244">
        <v>1</v>
      </c>
      <c r="N137" s="851">
        <v>24820</v>
      </c>
      <c r="O137" s="851">
        <v>24820</v>
      </c>
    </row>
    <row r="138" spans="10:15">
      <c r="J138" s="244">
        <v>33</v>
      </c>
      <c r="K138" s="528" t="s">
        <v>982</v>
      </c>
      <c r="L138" s="244" t="s">
        <v>981</v>
      </c>
      <c r="M138" s="244">
        <v>1</v>
      </c>
      <c r="N138" s="851">
        <v>79000</v>
      </c>
      <c r="O138" s="851">
        <v>79000</v>
      </c>
    </row>
    <row r="139" spans="10:15">
      <c r="J139" s="244">
        <v>34</v>
      </c>
      <c r="K139" s="528" t="s">
        <v>983</v>
      </c>
      <c r="L139" s="244" t="s">
        <v>984</v>
      </c>
      <c r="M139" s="244">
        <v>1</v>
      </c>
      <c r="N139" s="851">
        <v>50000</v>
      </c>
      <c r="O139" s="851">
        <v>50000</v>
      </c>
    </row>
    <row r="140" spans="10:15">
      <c r="J140" s="244">
        <v>35</v>
      </c>
      <c r="K140" s="528" t="s">
        <v>985</v>
      </c>
      <c r="L140" s="244" t="s">
        <v>333</v>
      </c>
      <c r="M140" s="244">
        <v>1</v>
      </c>
      <c r="N140" s="851">
        <v>87000</v>
      </c>
      <c r="O140" s="851">
        <v>87000</v>
      </c>
    </row>
    <row r="141" spans="10:15">
      <c r="J141" s="244">
        <v>36</v>
      </c>
      <c r="K141" s="528" t="s">
        <v>986</v>
      </c>
      <c r="L141" s="244" t="s">
        <v>143</v>
      </c>
      <c r="M141" s="244">
        <v>1</v>
      </c>
      <c r="N141" s="851">
        <v>1000</v>
      </c>
      <c r="O141" s="851">
        <v>1000</v>
      </c>
    </row>
    <row r="142" spans="10:15">
      <c r="J142" s="244">
        <v>37</v>
      </c>
      <c r="K142" s="528" t="s">
        <v>987</v>
      </c>
      <c r="L142" s="244" t="s">
        <v>143</v>
      </c>
      <c r="M142" s="244">
        <v>1</v>
      </c>
      <c r="N142" s="851">
        <v>1000</v>
      </c>
      <c r="O142" s="851">
        <v>1000</v>
      </c>
    </row>
    <row r="143" spans="10:15">
      <c r="J143" s="244">
        <v>38</v>
      </c>
      <c r="K143" s="528" t="s">
        <v>646</v>
      </c>
      <c r="L143" s="244" t="s">
        <v>323</v>
      </c>
      <c r="M143" s="244">
        <v>1</v>
      </c>
      <c r="N143" s="851">
        <v>1000</v>
      </c>
      <c r="O143" s="851">
        <v>1000</v>
      </c>
    </row>
    <row r="144" spans="10:15">
      <c r="J144" s="244">
        <v>39</v>
      </c>
      <c r="K144" s="528" t="s">
        <v>988</v>
      </c>
      <c r="L144" s="244" t="s">
        <v>143</v>
      </c>
      <c r="M144" s="244">
        <v>1</v>
      </c>
      <c r="N144" s="851">
        <v>1000</v>
      </c>
      <c r="O144" s="851">
        <v>1000</v>
      </c>
    </row>
    <row r="145" spans="10:15">
      <c r="J145" s="244">
        <v>40</v>
      </c>
      <c r="K145" s="528" t="s">
        <v>989</v>
      </c>
      <c r="L145" s="244" t="s">
        <v>143</v>
      </c>
      <c r="M145" s="244">
        <v>1</v>
      </c>
      <c r="N145" s="851">
        <v>1000</v>
      </c>
      <c r="O145" s="851">
        <v>1000</v>
      </c>
    </row>
    <row r="146" spans="10:15">
      <c r="J146" s="244">
        <v>41</v>
      </c>
      <c r="K146" s="528" t="s">
        <v>360</v>
      </c>
      <c r="L146" s="244" t="s">
        <v>361</v>
      </c>
      <c r="M146" s="244">
        <v>1</v>
      </c>
      <c r="N146" s="851">
        <v>10000</v>
      </c>
      <c r="O146" s="851">
        <v>10000</v>
      </c>
    </row>
    <row r="147" spans="10:15">
      <c r="J147" s="244">
        <v>42</v>
      </c>
      <c r="K147" s="528" t="s">
        <v>648</v>
      </c>
      <c r="L147" s="244" t="s">
        <v>361</v>
      </c>
      <c r="M147" s="244">
        <v>1</v>
      </c>
      <c r="N147" s="851">
        <v>10000</v>
      </c>
      <c r="O147" s="851">
        <v>10000</v>
      </c>
    </row>
    <row r="148" spans="10:15">
      <c r="J148" s="244">
        <v>43</v>
      </c>
      <c r="K148" s="528" t="s">
        <v>990</v>
      </c>
      <c r="L148" s="244" t="s">
        <v>361</v>
      </c>
      <c r="M148" s="244">
        <v>1</v>
      </c>
      <c r="N148" s="851">
        <v>10000</v>
      </c>
      <c r="O148" s="851">
        <v>10000</v>
      </c>
    </row>
    <row r="149" spans="10:15">
      <c r="J149" s="244">
        <v>44</v>
      </c>
      <c r="K149" s="528" t="s">
        <v>991</v>
      </c>
      <c r="L149" s="244" t="s">
        <v>143</v>
      </c>
      <c r="M149" s="244">
        <v>1</v>
      </c>
      <c r="N149" s="851">
        <v>12000</v>
      </c>
      <c r="O149" s="851">
        <v>12000</v>
      </c>
    </row>
    <row r="150" spans="10:15">
      <c r="J150" s="244">
        <v>45</v>
      </c>
      <c r="K150" s="528" t="s">
        <v>992</v>
      </c>
      <c r="L150" s="244" t="s">
        <v>347</v>
      </c>
      <c r="M150" s="244">
        <v>1</v>
      </c>
      <c r="N150" s="851">
        <v>1600000</v>
      </c>
      <c r="O150" s="851">
        <v>1600000</v>
      </c>
    </row>
    <row r="151" spans="10:15">
      <c r="J151" s="244">
        <v>46</v>
      </c>
      <c r="K151" s="528" t="s">
        <v>993</v>
      </c>
      <c r="L151" s="244" t="s">
        <v>347</v>
      </c>
      <c r="M151" s="244">
        <v>1</v>
      </c>
      <c r="N151" s="851">
        <v>1600000</v>
      </c>
      <c r="O151" s="851">
        <v>1600000</v>
      </c>
    </row>
    <row r="152" spans="10:15">
      <c r="J152" s="244">
        <v>47</v>
      </c>
      <c r="K152" s="528" t="s">
        <v>994</v>
      </c>
      <c r="L152" s="244" t="s">
        <v>347</v>
      </c>
      <c r="M152" s="244">
        <v>1</v>
      </c>
      <c r="N152" s="851">
        <v>2900000</v>
      </c>
      <c r="O152" s="851">
        <v>2900000</v>
      </c>
    </row>
    <row r="153" spans="10:15">
      <c r="J153" s="244">
        <v>48</v>
      </c>
      <c r="K153" s="528" t="s">
        <v>651</v>
      </c>
      <c r="L153" s="244" t="s">
        <v>347</v>
      </c>
      <c r="M153" s="244">
        <v>1</v>
      </c>
      <c r="N153" s="851">
        <v>1420000</v>
      </c>
      <c r="O153" s="851">
        <v>1420000</v>
      </c>
    </row>
    <row r="154" spans="10:15">
      <c r="J154" s="244">
        <v>49</v>
      </c>
      <c r="K154" s="528" t="s">
        <v>650</v>
      </c>
      <c r="L154" s="244" t="s">
        <v>347</v>
      </c>
      <c r="M154" s="244">
        <v>1</v>
      </c>
      <c r="N154" s="851">
        <v>990000</v>
      </c>
      <c r="O154" s="851">
        <v>990000</v>
      </c>
    </row>
    <row r="155" spans="10:15">
      <c r="J155" s="244">
        <v>50</v>
      </c>
      <c r="K155" s="528" t="s">
        <v>995</v>
      </c>
      <c r="L155" s="244" t="s">
        <v>347</v>
      </c>
      <c r="M155" s="244">
        <v>1</v>
      </c>
      <c r="N155" s="851">
        <v>620000</v>
      </c>
      <c r="O155" s="851">
        <v>620000</v>
      </c>
    </row>
    <row r="156" spans="10:15">
      <c r="J156" s="244">
        <v>51</v>
      </c>
      <c r="K156" s="528" t="s">
        <v>996</v>
      </c>
      <c r="L156" s="244" t="s">
        <v>997</v>
      </c>
      <c r="M156" s="244">
        <v>1</v>
      </c>
      <c r="N156" s="851">
        <v>68000</v>
      </c>
      <c r="O156" s="851">
        <v>68000</v>
      </c>
    </row>
    <row r="157" spans="10:15">
      <c r="J157" s="244">
        <v>52</v>
      </c>
      <c r="K157" s="528" t="s">
        <v>998</v>
      </c>
      <c r="L157" s="244" t="s">
        <v>138</v>
      </c>
      <c r="M157" s="244">
        <v>1</v>
      </c>
      <c r="N157" s="851">
        <v>120000</v>
      </c>
      <c r="O157" s="851">
        <v>120000</v>
      </c>
    </row>
    <row r="158" spans="10:15">
      <c r="J158" s="244">
        <v>53</v>
      </c>
      <c r="K158" s="528" t="s">
        <v>999</v>
      </c>
      <c r="L158" s="244" t="s">
        <v>138</v>
      </c>
      <c r="M158" s="244">
        <v>1</v>
      </c>
      <c r="N158" s="851">
        <v>120000</v>
      </c>
      <c r="O158" s="851">
        <v>120000</v>
      </c>
    </row>
    <row r="159" spans="10:15">
      <c r="J159" s="244">
        <v>54</v>
      </c>
      <c r="K159" s="528" t="s">
        <v>1000</v>
      </c>
      <c r="L159" s="244" t="s">
        <v>337</v>
      </c>
      <c r="M159" s="244">
        <v>1</v>
      </c>
      <c r="N159" s="851">
        <v>160000</v>
      </c>
      <c r="O159" s="851">
        <v>160000</v>
      </c>
    </row>
    <row r="160" spans="10:15">
      <c r="J160" s="244">
        <v>55</v>
      </c>
      <c r="K160" s="528" t="s">
        <v>1001</v>
      </c>
      <c r="L160" s="244" t="s">
        <v>337</v>
      </c>
      <c r="M160" s="244">
        <v>1</v>
      </c>
      <c r="N160" s="851">
        <v>160000</v>
      </c>
      <c r="O160" s="851">
        <v>160000</v>
      </c>
    </row>
    <row r="161" spans="10:15" ht="31">
      <c r="J161" s="244">
        <v>56</v>
      </c>
      <c r="K161" s="528" t="s">
        <v>1002</v>
      </c>
      <c r="L161" s="244" t="s">
        <v>143</v>
      </c>
      <c r="M161" s="244">
        <v>1</v>
      </c>
      <c r="N161" s="851">
        <v>30000</v>
      </c>
      <c r="O161" s="851">
        <v>30000</v>
      </c>
    </row>
    <row r="162" spans="10:15">
      <c r="J162" s="244">
        <v>57</v>
      </c>
      <c r="K162" s="528" t="s">
        <v>1003</v>
      </c>
      <c r="L162" s="244" t="s">
        <v>323</v>
      </c>
      <c r="M162" s="244">
        <v>1</v>
      </c>
      <c r="N162" s="851">
        <v>7500</v>
      </c>
      <c r="O162" s="851">
        <v>7500</v>
      </c>
    </row>
    <row r="163" spans="10:15">
      <c r="J163" s="244">
        <v>58</v>
      </c>
      <c r="K163" s="528" t="s">
        <v>1004</v>
      </c>
      <c r="L163" s="244" t="s">
        <v>337</v>
      </c>
      <c r="M163" s="244">
        <v>1</v>
      </c>
      <c r="N163" s="851">
        <v>150000</v>
      </c>
      <c r="O163" s="851">
        <v>150000</v>
      </c>
    </row>
    <row r="164" spans="10:15">
      <c r="J164" s="244">
        <v>59</v>
      </c>
      <c r="K164" s="528" t="s">
        <v>992</v>
      </c>
      <c r="L164" s="244" t="s">
        <v>347</v>
      </c>
      <c r="M164" s="244">
        <v>1</v>
      </c>
      <c r="N164" s="851">
        <v>1600000</v>
      </c>
      <c r="O164" s="851">
        <v>1600000</v>
      </c>
    </row>
    <row r="165" spans="10:15">
      <c r="J165" s="244">
        <v>60</v>
      </c>
      <c r="K165" s="528" t="s">
        <v>115</v>
      </c>
      <c r="L165" s="244" t="s">
        <v>347</v>
      </c>
      <c r="M165" s="244">
        <v>1</v>
      </c>
      <c r="N165" s="851">
        <v>1600000</v>
      </c>
      <c r="O165" s="851">
        <v>1600000</v>
      </c>
    </row>
    <row r="166" spans="10:15">
      <c r="J166" s="244">
        <v>61</v>
      </c>
      <c r="K166" s="528" t="s">
        <v>1005</v>
      </c>
      <c r="L166" s="244" t="s">
        <v>347</v>
      </c>
      <c r="M166" s="244">
        <v>1</v>
      </c>
      <c r="N166" s="851">
        <v>605000</v>
      </c>
      <c r="O166" s="851">
        <v>605000</v>
      </c>
    </row>
    <row r="167" spans="10:15">
      <c r="J167" s="244">
        <v>62</v>
      </c>
      <c r="K167" s="528" t="s">
        <v>1006</v>
      </c>
      <c r="L167" s="244" t="s">
        <v>347</v>
      </c>
      <c r="M167" s="244">
        <v>1</v>
      </c>
      <c r="N167" s="851">
        <v>2200000</v>
      </c>
      <c r="O167" s="851">
        <v>2200000</v>
      </c>
    </row>
    <row r="168" spans="10:15">
      <c r="J168" s="244">
        <v>63</v>
      </c>
      <c r="K168" s="528" t="s">
        <v>1007</v>
      </c>
      <c r="L168" s="244" t="s">
        <v>752</v>
      </c>
      <c r="M168" s="244">
        <v>1</v>
      </c>
      <c r="N168" s="851">
        <v>28000</v>
      </c>
      <c r="O168" s="851">
        <v>28000</v>
      </c>
    </row>
    <row r="169" spans="10:15">
      <c r="J169" s="244">
        <v>64</v>
      </c>
      <c r="K169" s="528" t="s">
        <v>1008</v>
      </c>
      <c r="L169" s="244" t="s">
        <v>981</v>
      </c>
      <c r="M169" s="244">
        <v>1</v>
      </c>
      <c r="N169" s="851">
        <v>51000</v>
      </c>
      <c r="O169" s="851">
        <v>51000</v>
      </c>
    </row>
    <row r="170" spans="10:15">
      <c r="J170" s="244">
        <v>65</v>
      </c>
      <c r="K170" s="528" t="s">
        <v>1009</v>
      </c>
      <c r="L170" s="244" t="s">
        <v>323</v>
      </c>
      <c r="M170" s="244">
        <v>1</v>
      </c>
      <c r="N170" s="851">
        <v>25000</v>
      </c>
      <c r="O170" s="851">
        <v>25000</v>
      </c>
    </row>
    <row r="171" spans="10:15">
      <c r="J171" s="244">
        <v>66</v>
      </c>
      <c r="K171" s="528" t="s">
        <v>1010</v>
      </c>
      <c r="L171" s="244" t="s">
        <v>323</v>
      </c>
      <c r="M171" s="244">
        <v>1</v>
      </c>
      <c r="N171" s="851">
        <v>12000</v>
      </c>
      <c r="O171" s="851">
        <v>12000</v>
      </c>
    </row>
    <row r="172" spans="10:15">
      <c r="J172" s="244">
        <v>67</v>
      </c>
      <c r="K172" s="528" t="s">
        <v>1011</v>
      </c>
      <c r="L172" s="244" t="s">
        <v>143</v>
      </c>
      <c r="M172" s="244">
        <v>1</v>
      </c>
      <c r="N172" s="851">
        <v>400000</v>
      </c>
      <c r="O172" s="851">
        <v>400000</v>
      </c>
    </row>
    <row r="173" spans="10:15">
      <c r="J173" s="244">
        <v>68</v>
      </c>
      <c r="K173" s="528" t="s">
        <v>1012</v>
      </c>
      <c r="L173" s="244" t="s">
        <v>981</v>
      </c>
      <c r="M173" s="244">
        <v>1</v>
      </c>
      <c r="N173" s="851">
        <v>45000</v>
      </c>
      <c r="O173" s="851">
        <v>45000</v>
      </c>
    </row>
    <row r="174" spans="10:15">
      <c r="J174" s="244">
        <v>69</v>
      </c>
      <c r="K174" s="528" t="s">
        <v>1013</v>
      </c>
      <c r="L174" s="244" t="s">
        <v>323</v>
      </c>
      <c r="M174" s="244">
        <v>1</v>
      </c>
      <c r="N174" s="851">
        <v>550000</v>
      </c>
      <c r="O174" s="851">
        <v>550000</v>
      </c>
    </row>
    <row r="175" spans="10:15">
      <c r="J175" s="244">
        <v>70</v>
      </c>
      <c r="K175" s="528" t="s">
        <v>1014</v>
      </c>
      <c r="L175" s="244" t="s">
        <v>323</v>
      </c>
      <c r="M175" s="244">
        <v>1</v>
      </c>
      <c r="N175" s="851">
        <v>35000</v>
      </c>
      <c r="O175" s="851">
        <v>35000</v>
      </c>
    </row>
    <row r="176" spans="10:15">
      <c r="J176" s="244">
        <v>71</v>
      </c>
      <c r="K176" s="528" t="s">
        <v>346</v>
      </c>
      <c r="L176" s="244" t="s">
        <v>347</v>
      </c>
      <c r="M176" s="244">
        <v>1</v>
      </c>
      <c r="N176" s="851">
        <v>12000</v>
      </c>
      <c r="O176" s="851">
        <v>12000</v>
      </c>
    </row>
    <row r="177" spans="10:15">
      <c r="J177" s="244">
        <v>72</v>
      </c>
      <c r="K177" s="528" t="s">
        <v>348</v>
      </c>
      <c r="L177" s="244" t="s">
        <v>347</v>
      </c>
      <c r="M177" s="244">
        <v>1</v>
      </c>
      <c r="N177" s="851">
        <v>3500</v>
      </c>
      <c r="O177" s="851">
        <v>3500</v>
      </c>
    </row>
    <row r="178" spans="10:15">
      <c r="J178" s="244">
        <v>73</v>
      </c>
      <c r="K178" s="528" t="s">
        <v>116</v>
      </c>
      <c r="L178" s="244" t="s">
        <v>323</v>
      </c>
      <c r="M178" s="244">
        <v>1</v>
      </c>
      <c r="N178" s="851">
        <v>40000</v>
      </c>
      <c r="O178" s="851">
        <v>40000</v>
      </c>
    </row>
    <row r="179" spans="10:15">
      <c r="J179" s="244">
        <v>74</v>
      </c>
      <c r="K179" s="528" t="s">
        <v>749</v>
      </c>
      <c r="L179" s="244" t="s">
        <v>143</v>
      </c>
      <c r="M179" s="244">
        <v>1</v>
      </c>
      <c r="N179" s="851">
        <v>1000</v>
      </c>
      <c r="O179" s="851">
        <v>1000</v>
      </c>
    </row>
    <row r="180" spans="10:15">
      <c r="J180" s="244">
        <v>75</v>
      </c>
      <c r="K180" s="528" t="s">
        <v>1015</v>
      </c>
      <c r="L180" s="244" t="s">
        <v>143</v>
      </c>
      <c r="M180" s="244">
        <v>1</v>
      </c>
      <c r="N180" s="851">
        <v>1000</v>
      </c>
      <c r="O180" s="851">
        <v>1000</v>
      </c>
    </row>
    <row r="181" spans="10:15">
      <c r="J181" s="244">
        <v>76</v>
      </c>
      <c r="K181" s="528" t="s">
        <v>1016</v>
      </c>
      <c r="L181" s="244" t="s">
        <v>143</v>
      </c>
      <c r="M181" s="244">
        <v>1</v>
      </c>
      <c r="N181" s="851">
        <v>1000</v>
      </c>
      <c r="O181" s="851">
        <v>1000</v>
      </c>
    </row>
    <row r="182" spans="10:15">
      <c r="J182" s="244">
        <v>77</v>
      </c>
      <c r="K182" s="528" t="s">
        <v>1017</v>
      </c>
      <c r="L182" s="244" t="s">
        <v>143</v>
      </c>
      <c r="M182" s="244">
        <v>1</v>
      </c>
      <c r="N182" s="851">
        <v>1000</v>
      </c>
      <c r="O182" s="851">
        <v>1000</v>
      </c>
    </row>
    <row r="183" spans="10:15">
      <c r="J183" s="244">
        <v>78</v>
      </c>
      <c r="K183" s="528" t="s">
        <v>41</v>
      </c>
      <c r="L183" s="244" t="s">
        <v>355</v>
      </c>
      <c r="M183" s="244">
        <v>1</v>
      </c>
      <c r="N183" s="851">
        <v>5000</v>
      </c>
      <c r="O183" s="851">
        <v>5000</v>
      </c>
    </row>
    <row r="184" spans="10:15">
      <c r="J184" s="244">
        <v>79</v>
      </c>
      <c r="K184" s="528" t="s">
        <v>356</v>
      </c>
      <c r="L184" s="244" t="s">
        <v>323</v>
      </c>
      <c r="M184" s="244">
        <v>1</v>
      </c>
      <c r="N184" s="851">
        <v>20000</v>
      </c>
      <c r="O184" s="851">
        <v>20000</v>
      </c>
    </row>
    <row r="185" spans="10:15">
      <c r="J185" s="244">
        <v>80</v>
      </c>
      <c r="K185" s="528" t="s">
        <v>357</v>
      </c>
      <c r="L185" s="244" t="s">
        <v>323</v>
      </c>
      <c r="M185" s="244">
        <v>1</v>
      </c>
      <c r="N185" s="851">
        <v>10000</v>
      </c>
      <c r="O185" s="851">
        <v>10000</v>
      </c>
    </row>
    <row r="186" spans="10:15">
      <c r="J186" s="244">
        <v>81</v>
      </c>
      <c r="K186" s="528" t="s">
        <v>358</v>
      </c>
      <c r="L186" s="244" t="s">
        <v>359</v>
      </c>
      <c r="M186" s="244">
        <v>1</v>
      </c>
      <c r="N186" s="851">
        <v>2000</v>
      </c>
      <c r="O186" s="851">
        <v>2000</v>
      </c>
    </row>
    <row r="187" spans="10:15">
      <c r="J187" s="244">
        <v>82</v>
      </c>
      <c r="K187" s="528" t="s">
        <v>362</v>
      </c>
      <c r="L187" s="244" t="s">
        <v>323</v>
      </c>
      <c r="M187" s="244">
        <v>1</v>
      </c>
      <c r="N187" s="851">
        <v>3000</v>
      </c>
      <c r="O187" s="851">
        <v>3000</v>
      </c>
    </row>
    <row r="188" spans="10:15">
      <c r="J188" s="244">
        <v>83</v>
      </c>
      <c r="K188" s="528" t="s">
        <v>1018</v>
      </c>
      <c r="L188" s="244" t="s">
        <v>143</v>
      </c>
      <c r="M188" s="244">
        <v>1</v>
      </c>
      <c r="N188" s="851">
        <v>150000</v>
      </c>
      <c r="O188" s="851">
        <v>150000</v>
      </c>
    </row>
    <row r="189" spans="10:15">
      <c r="J189" s="244">
        <v>84</v>
      </c>
      <c r="K189" s="528" t="s">
        <v>1019</v>
      </c>
      <c r="L189" s="244" t="s">
        <v>323</v>
      </c>
      <c r="M189" s="244">
        <v>1</v>
      </c>
      <c r="N189" s="851">
        <v>2700</v>
      </c>
      <c r="O189" s="851">
        <v>2700</v>
      </c>
    </row>
    <row r="190" spans="10:15">
      <c r="J190" s="244">
        <v>85</v>
      </c>
      <c r="K190" s="528" t="s">
        <v>654</v>
      </c>
      <c r="L190" s="244" t="s">
        <v>323</v>
      </c>
      <c r="M190" s="244">
        <v>1</v>
      </c>
      <c r="N190" s="851">
        <v>4000</v>
      </c>
      <c r="O190" s="851">
        <v>4000</v>
      </c>
    </row>
    <row r="191" spans="10:15">
      <c r="J191" s="244">
        <v>86</v>
      </c>
      <c r="K191" s="528" t="s">
        <v>631</v>
      </c>
      <c r="L191" s="244" t="s">
        <v>323</v>
      </c>
      <c r="M191" s="244">
        <v>1</v>
      </c>
      <c r="N191" s="851">
        <v>400000</v>
      </c>
      <c r="O191" s="851">
        <v>400000</v>
      </c>
    </row>
    <row r="192" spans="10:15">
      <c r="J192" s="244">
        <v>87</v>
      </c>
      <c r="K192" s="528" t="s">
        <v>1020</v>
      </c>
      <c r="L192" s="244" t="s">
        <v>143</v>
      </c>
      <c r="M192" s="244">
        <v>1</v>
      </c>
      <c r="N192" s="851">
        <v>30000</v>
      </c>
      <c r="O192" s="851">
        <v>30000</v>
      </c>
    </row>
    <row r="193" spans="10:15">
      <c r="J193" s="244">
        <v>88</v>
      </c>
      <c r="K193" s="528" t="s">
        <v>1021</v>
      </c>
      <c r="L193" s="244" t="s">
        <v>359</v>
      </c>
      <c r="M193" s="244">
        <v>1</v>
      </c>
      <c r="N193" s="851">
        <v>1000</v>
      </c>
      <c r="O193" s="851">
        <v>1000</v>
      </c>
    </row>
    <row r="194" spans="10:15">
      <c r="J194" s="244">
        <v>89</v>
      </c>
      <c r="K194" s="528" t="s">
        <v>384</v>
      </c>
      <c r="L194" s="244" t="s">
        <v>143</v>
      </c>
      <c r="M194" s="244">
        <v>1</v>
      </c>
      <c r="N194" s="851">
        <v>770</v>
      </c>
      <c r="O194" s="851">
        <v>770</v>
      </c>
    </row>
    <row r="195" spans="10:15">
      <c r="J195" s="244">
        <v>90</v>
      </c>
      <c r="K195" s="528" t="s">
        <v>1022</v>
      </c>
      <c r="L195" s="244" t="s">
        <v>347</v>
      </c>
      <c r="M195" s="244">
        <v>1</v>
      </c>
      <c r="N195" s="851">
        <v>2600</v>
      </c>
      <c r="O195" s="851">
        <v>2600</v>
      </c>
    </row>
    <row r="196" spans="10:15">
      <c r="J196" s="244">
        <v>91</v>
      </c>
      <c r="K196" s="528" t="s">
        <v>1023</v>
      </c>
      <c r="L196" s="244" t="s">
        <v>347</v>
      </c>
      <c r="M196" s="244">
        <v>1</v>
      </c>
      <c r="N196" s="851">
        <v>3500</v>
      </c>
      <c r="O196" s="851">
        <v>3500</v>
      </c>
    </row>
    <row r="197" spans="10:15">
      <c r="J197" s="244">
        <v>92</v>
      </c>
      <c r="K197" s="528" t="s">
        <v>1024</v>
      </c>
      <c r="L197" s="244" t="s">
        <v>323</v>
      </c>
      <c r="M197" s="244">
        <v>1</v>
      </c>
      <c r="N197" s="851">
        <v>38600</v>
      </c>
      <c r="O197" s="851">
        <v>38600</v>
      </c>
    </row>
    <row r="198" spans="10:15">
      <c r="J198" s="244">
        <v>93</v>
      </c>
      <c r="K198" s="528" t="s">
        <v>1025</v>
      </c>
      <c r="L198" s="244" t="s">
        <v>1026</v>
      </c>
      <c r="M198" s="244">
        <v>1</v>
      </c>
      <c r="N198" s="851">
        <v>4700</v>
      </c>
      <c r="O198" s="851">
        <v>4700</v>
      </c>
    </row>
    <row r="199" spans="10:15">
      <c r="J199" s="244">
        <v>94</v>
      </c>
      <c r="K199" s="528" t="s">
        <v>1027</v>
      </c>
      <c r="L199" s="244" t="s">
        <v>323</v>
      </c>
      <c r="M199" s="244">
        <v>1</v>
      </c>
      <c r="N199" s="851">
        <v>145000</v>
      </c>
      <c r="O199" s="851">
        <v>145000</v>
      </c>
    </row>
    <row r="200" spans="10:15">
      <c r="J200" s="244">
        <v>95</v>
      </c>
      <c r="K200" s="528" t="s">
        <v>1028</v>
      </c>
      <c r="L200" s="244" t="s">
        <v>641</v>
      </c>
      <c r="M200" s="244">
        <v>1</v>
      </c>
      <c r="N200" s="851">
        <v>168000</v>
      </c>
      <c r="O200" s="851">
        <v>168000</v>
      </c>
    </row>
    <row r="201" spans="10:15">
      <c r="J201" s="244">
        <v>96</v>
      </c>
      <c r="K201" s="528" t="s">
        <v>1029</v>
      </c>
      <c r="L201" s="244" t="s">
        <v>641</v>
      </c>
      <c r="M201" s="244">
        <v>1</v>
      </c>
      <c r="N201" s="851">
        <v>14000</v>
      </c>
      <c r="O201" s="851">
        <v>14000</v>
      </c>
    </row>
    <row r="202" spans="10:15">
      <c r="J202" s="244">
        <v>97</v>
      </c>
      <c r="K202" s="528" t="s">
        <v>1030</v>
      </c>
      <c r="L202" s="244" t="s">
        <v>1031</v>
      </c>
      <c r="M202" s="244">
        <v>1</v>
      </c>
      <c r="N202" s="851">
        <v>130000</v>
      </c>
      <c r="O202" s="851">
        <v>130000</v>
      </c>
    </row>
    <row r="203" spans="10:15">
      <c r="J203" s="244">
        <v>98</v>
      </c>
      <c r="K203" s="528" t="s">
        <v>1032</v>
      </c>
      <c r="L203" s="244" t="s">
        <v>323</v>
      </c>
      <c r="M203" s="244">
        <v>1</v>
      </c>
      <c r="N203" s="851">
        <v>305000</v>
      </c>
      <c r="O203" s="851">
        <v>305000</v>
      </c>
    </row>
    <row r="204" spans="10:15">
      <c r="J204" s="244">
        <v>99</v>
      </c>
      <c r="K204" s="528" t="s">
        <v>1033</v>
      </c>
      <c r="L204" s="244" t="s">
        <v>323</v>
      </c>
      <c r="M204" s="244">
        <v>1</v>
      </c>
      <c r="N204" s="851">
        <v>850000</v>
      </c>
      <c r="O204" s="851">
        <v>850000</v>
      </c>
    </row>
    <row r="205" spans="10:15">
      <c r="J205" s="244">
        <v>100</v>
      </c>
      <c r="K205" s="528" t="s">
        <v>1034</v>
      </c>
      <c r="L205" s="244" t="s">
        <v>1035</v>
      </c>
      <c r="M205" s="244">
        <v>1</v>
      </c>
      <c r="N205" s="851">
        <v>43000</v>
      </c>
      <c r="O205" s="851">
        <v>43000</v>
      </c>
    </row>
    <row r="206" spans="10:15">
      <c r="J206" s="244">
        <v>101</v>
      </c>
      <c r="K206" s="528" t="s">
        <v>1036</v>
      </c>
      <c r="L206" s="244" t="s">
        <v>1035</v>
      </c>
      <c r="M206" s="244">
        <v>1</v>
      </c>
      <c r="N206" s="851">
        <v>250000</v>
      </c>
      <c r="O206" s="851">
        <v>250000</v>
      </c>
    </row>
    <row r="207" spans="10:15">
      <c r="J207" s="244">
        <v>102</v>
      </c>
      <c r="K207" s="528" t="s">
        <v>1037</v>
      </c>
      <c r="L207" s="244" t="s">
        <v>1035</v>
      </c>
      <c r="M207" s="244">
        <v>1</v>
      </c>
      <c r="N207" s="851">
        <v>120000</v>
      </c>
      <c r="O207" s="851">
        <v>120000</v>
      </c>
    </row>
    <row r="208" spans="10:15">
      <c r="J208" s="244">
        <v>103</v>
      </c>
      <c r="K208" s="528" t="s">
        <v>1038</v>
      </c>
      <c r="L208" s="244" t="s">
        <v>1035</v>
      </c>
      <c r="M208" s="244">
        <v>1</v>
      </c>
      <c r="N208" s="851">
        <v>230000</v>
      </c>
      <c r="O208" s="851">
        <v>230000</v>
      </c>
    </row>
    <row r="209" spans="10:15">
      <c r="J209" s="244">
        <v>104</v>
      </c>
      <c r="K209" s="528" t="s">
        <v>1039</v>
      </c>
      <c r="L209" s="244" t="s">
        <v>323</v>
      </c>
      <c r="M209" s="244">
        <v>1</v>
      </c>
      <c r="N209" s="851">
        <v>650000</v>
      </c>
      <c r="O209" s="851">
        <v>650000</v>
      </c>
    </row>
    <row r="210" spans="10:15">
      <c r="J210" s="244">
        <v>105</v>
      </c>
      <c r="K210" s="528" t="s">
        <v>1040</v>
      </c>
      <c r="L210" s="244" t="s">
        <v>981</v>
      </c>
      <c r="M210" s="244">
        <v>1</v>
      </c>
      <c r="N210" s="851">
        <v>27000</v>
      </c>
      <c r="O210" s="851">
        <v>27000</v>
      </c>
    </row>
    <row r="211" spans="10:15">
      <c r="J211" s="244">
        <v>106</v>
      </c>
      <c r="K211" s="528" t="s">
        <v>1041</v>
      </c>
      <c r="L211" s="244" t="s">
        <v>981</v>
      </c>
      <c r="M211" s="244">
        <v>1</v>
      </c>
      <c r="N211" s="851">
        <v>30620</v>
      </c>
      <c r="O211" s="851">
        <v>30620</v>
      </c>
    </row>
    <row r="212" spans="10:15">
      <c r="J212" s="244">
        <v>107</v>
      </c>
      <c r="K212" s="528" t="s">
        <v>1042</v>
      </c>
      <c r="L212" s="244" t="s">
        <v>323</v>
      </c>
      <c r="M212" s="244">
        <v>1</v>
      </c>
      <c r="N212" s="851">
        <v>13560</v>
      </c>
      <c r="O212" s="851">
        <v>13560</v>
      </c>
    </row>
    <row r="213" spans="10:15">
      <c r="J213" s="244">
        <v>108</v>
      </c>
      <c r="K213" s="528" t="s">
        <v>1043</v>
      </c>
      <c r="L213" s="244" t="s">
        <v>641</v>
      </c>
      <c r="M213" s="244">
        <v>1</v>
      </c>
      <c r="N213" s="851">
        <v>88000</v>
      </c>
      <c r="O213" s="851">
        <v>88000</v>
      </c>
    </row>
    <row r="214" spans="10:15">
      <c r="J214" s="244">
        <v>109</v>
      </c>
      <c r="K214" s="528" t="s">
        <v>1044</v>
      </c>
      <c r="L214" s="244" t="s">
        <v>641</v>
      </c>
      <c r="M214" s="244">
        <v>1</v>
      </c>
      <c r="N214" s="851">
        <v>126000</v>
      </c>
      <c r="O214" s="851">
        <v>126000</v>
      </c>
    </row>
    <row r="215" spans="10:15">
      <c r="J215" s="244">
        <v>110</v>
      </c>
      <c r="K215" s="528" t="s">
        <v>1045</v>
      </c>
      <c r="L215" s="244" t="s">
        <v>641</v>
      </c>
      <c r="M215" s="244">
        <v>1</v>
      </c>
      <c r="N215" s="851">
        <v>198000</v>
      </c>
      <c r="O215" s="851">
        <v>198000</v>
      </c>
    </row>
    <row r="216" spans="10:15">
      <c r="J216" s="244">
        <v>111</v>
      </c>
      <c r="K216" s="528" t="s">
        <v>1046</v>
      </c>
      <c r="L216" s="244" t="s">
        <v>143</v>
      </c>
      <c r="M216" s="244">
        <v>1</v>
      </c>
      <c r="N216" s="851">
        <v>6182</v>
      </c>
      <c r="O216" s="851">
        <v>6182</v>
      </c>
    </row>
    <row r="217" spans="10:15">
      <c r="J217" s="244">
        <v>112</v>
      </c>
      <c r="K217" s="528" t="s">
        <v>1047</v>
      </c>
      <c r="L217" s="244" t="s">
        <v>641</v>
      </c>
      <c r="M217" s="244">
        <v>1</v>
      </c>
      <c r="N217" s="851">
        <v>21172</v>
      </c>
      <c r="O217" s="851">
        <v>21172</v>
      </c>
    </row>
    <row r="218" spans="10:15">
      <c r="J218" s="244">
        <v>113</v>
      </c>
      <c r="K218" s="528" t="s">
        <v>1048</v>
      </c>
      <c r="L218" s="244" t="s">
        <v>1035</v>
      </c>
      <c r="M218" s="244">
        <v>1</v>
      </c>
      <c r="N218" s="851">
        <v>853000</v>
      </c>
      <c r="O218" s="851">
        <v>853000</v>
      </c>
    </row>
    <row r="219" spans="10:15" ht="18.5">
      <c r="J219" s="244">
        <v>114</v>
      </c>
      <c r="K219" s="528" t="s">
        <v>1049</v>
      </c>
      <c r="L219" s="244" t="s">
        <v>1050</v>
      </c>
      <c r="M219" s="244">
        <v>1</v>
      </c>
      <c r="N219" s="851">
        <v>1600000</v>
      </c>
      <c r="O219" s="851">
        <v>1600000</v>
      </c>
    </row>
    <row r="220" spans="10:15" ht="18.5">
      <c r="J220" s="244">
        <v>115</v>
      </c>
      <c r="K220" s="528" t="s">
        <v>1051</v>
      </c>
      <c r="L220" s="244" t="s">
        <v>1050</v>
      </c>
      <c r="M220" s="244">
        <v>1</v>
      </c>
      <c r="N220" s="851">
        <v>88000</v>
      </c>
      <c r="O220" s="851">
        <v>88000</v>
      </c>
    </row>
    <row r="221" spans="10:15">
      <c r="J221" s="244">
        <v>116</v>
      </c>
      <c r="K221" s="528" t="s">
        <v>1052</v>
      </c>
      <c r="L221" s="244" t="s">
        <v>1053</v>
      </c>
      <c r="M221" s="244">
        <v>1</v>
      </c>
      <c r="N221" s="851">
        <v>135000</v>
      </c>
      <c r="O221" s="851">
        <v>135000</v>
      </c>
    </row>
    <row r="222" spans="10:15">
      <c r="J222" s="244">
        <v>117</v>
      </c>
      <c r="K222" s="528" t="s">
        <v>1054</v>
      </c>
      <c r="L222" s="244" t="s">
        <v>323</v>
      </c>
      <c r="M222" s="244">
        <v>1</v>
      </c>
      <c r="N222" s="851">
        <v>1000</v>
      </c>
      <c r="O222" s="851">
        <v>1000</v>
      </c>
    </row>
    <row r="223" spans="10:15">
      <c r="J223" s="244">
        <v>118</v>
      </c>
      <c r="K223" s="528" t="s">
        <v>1055</v>
      </c>
      <c r="L223" s="244" t="s">
        <v>323</v>
      </c>
      <c r="M223" s="244">
        <v>1</v>
      </c>
      <c r="N223" s="851">
        <v>49680</v>
      </c>
      <c r="O223" s="851">
        <v>49680</v>
      </c>
    </row>
    <row r="224" spans="10:15">
      <c r="J224" s="244">
        <v>119</v>
      </c>
      <c r="K224" s="528" t="s">
        <v>1056</v>
      </c>
      <c r="L224" s="244" t="s">
        <v>323</v>
      </c>
      <c r="M224" s="244">
        <v>1</v>
      </c>
      <c r="N224" s="851">
        <v>57600</v>
      </c>
      <c r="O224" s="851">
        <v>57600</v>
      </c>
    </row>
    <row r="225" spans="10:15">
      <c r="J225" s="244">
        <v>120</v>
      </c>
      <c r="K225" s="528" t="s">
        <v>1057</v>
      </c>
      <c r="L225" s="244" t="s">
        <v>1035</v>
      </c>
      <c r="M225" s="244">
        <v>1</v>
      </c>
      <c r="N225" s="851">
        <v>140000</v>
      </c>
      <c r="O225" s="851">
        <v>140000</v>
      </c>
    </row>
    <row r="226" spans="10:15">
      <c r="J226" s="244">
        <v>121</v>
      </c>
      <c r="K226" s="528" t="s">
        <v>1058</v>
      </c>
      <c r="L226" s="244" t="s">
        <v>323</v>
      </c>
      <c r="M226" s="244">
        <v>1</v>
      </c>
      <c r="N226" s="851">
        <v>618426</v>
      </c>
      <c r="O226" s="851">
        <v>618426</v>
      </c>
    </row>
    <row r="227" spans="10:15">
      <c r="J227" s="244">
        <v>122</v>
      </c>
      <c r="K227" s="528" t="s">
        <v>1059</v>
      </c>
      <c r="L227" s="244" t="s">
        <v>323</v>
      </c>
      <c r="M227" s="244">
        <v>1</v>
      </c>
      <c r="N227" s="851">
        <v>51000</v>
      </c>
      <c r="O227" s="851">
        <v>51000</v>
      </c>
    </row>
    <row r="228" spans="10:15">
      <c r="J228" s="244">
        <v>123</v>
      </c>
      <c r="K228" s="528" t="s">
        <v>1060</v>
      </c>
      <c r="L228" s="244" t="s">
        <v>981</v>
      </c>
      <c r="M228" s="244">
        <v>1</v>
      </c>
      <c r="N228" s="851">
        <v>24360</v>
      </c>
      <c r="O228" s="851">
        <v>24360</v>
      </c>
    </row>
    <row r="229" spans="10:15">
      <c r="J229" s="244">
        <v>124</v>
      </c>
      <c r="K229" s="528" t="s">
        <v>1061</v>
      </c>
      <c r="L229" s="244" t="s">
        <v>981</v>
      </c>
      <c r="M229" s="244">
        <v>1</v>
      </c>
      <c r="N229" s="851">
        <v>194249</v>
      </c>
      <c r="O229" s="851">
        <v>194249</v>
      </c>
    </row>
    <row r="230" spans="10:15">
      <c r="J230" s="244">
        <v>125</v>
      </c>
      <c r="K230" s="528" t="s">
        <v>1062</v>
      </c>
      <c r="L230" s="244" t="s">
        <v>981</v>
      </c>
      <c r="M230" s="244">
        <v>1</v>
      </c>
      <c r="N230" s="851">
        <v>180000</v>
      </c>
      <c r="O230" s="851">
        <v>180000</v>
      </c>
    </row>
    <row r="231" spans="10:15">
      <c r="J231" s="244">
        <v>126</v>
      </c>
      <c r="K231" s="528" t="s">
        <v>1063</v>
      </c>
      <c r="L231" s="244" t="s">
        <v>1064</v>
      </c>
      <c r="M231" s="244">
        <v>1</v>
      </c>
      <c r="N231" s="851">
        <v>164000</v>
      </c>
      <c r="O231" s="851">
        <v>164000</v>
      </c>
    </row>
    <row r="232" spans="10:15" ht="18.5">
      <c r="J232" s="244">
        <v>127</v>
      </c>
      <c r="K232" s="528" t="s">
        <v>1065</v>
      </c>
      <c r="L232" s="244" t="s">
        <v>975</v>
      </c>
      <c r="M232" s="244">
        <v>1</v>
      </c>
      <c r="N232" s="851">
        <v>5000</v>
      </c>
      <c r="O232" s="851">
        <v>5000</v>
      </c>
    </row>
    <row r="233" spans="10:15">
      <c r="J233" s="853" t="s">
        <v>108</v>
      </c>
      <c r="K233" s="172" t="s">
        <v>1066</v>
      </c>
      <c r="L233" s="244"/>
      <c r="M233" s="244"/>
      <c r="N233" s="851">
        <v>0</v>
      </c>
      <c r="O233" s="851">
        <v>0</v>
      </c>
    </row>
    <row r="234" spans="10:15">
      <c r="J234" s="854">
        <v>1</v>
      </c>
      <c r="K234" s="528" t="s">
        <v>1067</v>
      </c>
      <c r="L234" s="244" t="s">
        <v>323</v>
      </c>
      <c r="M234" s="244">
        <v>1</v>
      </c>
      <c r="N234" s="851">
        <v>686364000</v>
      </c>
      <c r="O234" s="851">
        <v>686364000</v>
      </c>
    </row>
    <row r="235" spans="10:15">
      <c r="J235" s="854">
        <v>2</v>
      </c>
      <c r="K235" s="528" t="s">
        <v>1068</v>
      </c>
      <c r="L235" s="244" t="s">
        <v>337</v>
      </c>
      <c r="M235" s="244">
        <v>1</v>
      </c>
      <c r="N235" s="851">
        <v>98800000</v>
      </c>
      <c r="O235" s="851">
        <v>98800000</v>
      </c>
    </row>
    <row r="236" spans="10:15">
      <c r="J236" s="854">
        <v>3</v>
      </c>
      <c r="K236" s="528" t="s">
        <v>637</v>
      </c>
      <c r="L236" s="244" t="s">
        <v>337</v>
      </c>
      <c r="M236" s="244">
        <v>1</v>
      </c>
      <c r="N236" s="851">
        <v>13800000</v>
      </c>
      <c r="O236" s="851">
        <v>13800000</v>
      </c>
    </row>
    <row r="237" spans="10:15">
      <c r="J237" s="244">
        <v>4</v>
      </c>
      <c r="K237" s="528" t="s">
        <v>1069</v>
      </c>
      <c r="L237" s="244" t="s">
        <v>323</v>
      </c>
      <c r="M237" s="244">
        <v>1</v>
      </c>
      <c r="N237" s="851">
        <v>1100000</v>
      </c>
      <c r="O237" s="851">
        <v>1100000</v>
      </c>
    </row>
    <row r="238" spans="10:15">
      <c r="J238" s="244">
        <v>5</v>
      </c>
      <c r="K238" s="528" t="s">
        <v>1070</v>
      </c>
      <c r="L238" s="244" t="s">
        <v>323</v>
      </c>
      <c r="M238" s="244">
        <v>1</v>
      </c>
      <c r="N238" s="851">
        <v>13900000</v>
      </c>
      <c r="O238" s="851">
        <v>13900000</v>
      </c>
    </row>
    <row r="239" spans="10:15">
      <c r="J239" s="244">
        <v>6</v>
      </c>
      <c r="K239" s="528" t="s">
        <v>636</v>
      </c>
      <c r="L239" s="244" t="s">
        <v>337</v>
      </c>
      <c r="M239" s="244">
        <v>1</v>
      </c>
      <c r="N239" s="851">
        <v>85000000</v>
      </c>
      <c r="O239" s="851">
        <v>85000000</v>
      </c>
    </row>
    <row r="240" spans="10:15">
      <c r="J240" s="244">
        <v>7</v>
      </c>
      <c r="K240" s="528" t="s">
        <v>1071</v>
      </c>
      <c r="L240" s="244" t="s">
        <v>323</v>
      </c>
      <c r="M240" s="244">
        <v>1</v>
      </c>
      <c r="N240" s="851">
        <v>13127000</v>
      </c>
      <c r="O240" s="851">
        <v>13127000</v>
      </c>
    </row>
    <row r="241" spans="10:15">
      <c r="J241" s="244">
        <v>8</v>
      </c>
      <c r="K241" s="528" t="s">
        <v>1072</v>
      </c>
      <c r="L241" s="244" t="s">
        <v>323</v>
      </c>
      <c r="M241" s="244">
        <v>1</v>
      </c>
      <c r="N241" s="851">
        <v>4082000</v>
      </c>
      <c r="O241" s="851">
        <v>4082000</v>
      </c>
    </row>
    <row r="242" spans="10:15">
      <c r="J242" s="244">
        <v>9</v>
      </c>
      <c r="K242" s="528" t="s">
        <v>369</v>
      </c>
      <c r="L242" s="244" t="s">
        <v>323</v>
      </c>
      <c r="M242" s="244">
        <v>1</v>
      </c>
      <c r="N242" s="851">
        <v>101818000</v>
      </c>
      <c r="O242" s="851">
        <v>101818000</v>
      </c>
    </row>
    <row r="243" spans="10:15">
      <c r="J243" s="244">
        <v>10</v>
      </c>
      <c r="K243" s="528" t="s">
        <v>1073</v>
      </c>
      <c r="L243" s="244" t="s">
        <v>323</v>
      </c>
      <c r="M243" s="244">
        <v>1</v>
      </c>
      <c r="N243" s="851">
        <v>9910000</v>
      </c>
      <c r="O243" s="851">
        <v>9910000</v>
      </c>
    </row>
    <row r="244" spans="10:15">
      <c r="J244" s="244">
        <v>11</v>
      </c>
      <c r="K244" s="528" t="s">
        <v>1074</v>
      </c>
      <c r="L244" s="244" t="s">
        <v>323</v>
      </c>
      <c r="M244" s="244">
        <v>1</v>
      </c>
      <c r="N244" s="851">
        <v>51190000</v>
      </c>
      <c r="O244" s="851">
        <v>51190000</v>
      </c>
    </row>
    <row r="245" spans="10:15">
      <c r="J245" s="244">
        <v>12</v>
      </c>
      <c r="K245" s="528" t="s">
        <v>1075</v>
      </c>
      <c r="L245" s="244" t="s">
        <v>323</v>
      </c>
      <c r="M245" s="244">
        <v>1</v>
      </c>
      <c r="N245" s="851">
        <v>66000000</v>
      </c>
      <c r="O245" s="851">
        <v>66000000</v>
      </c>
    </row>
    <row r="246" spans="10:15">
      <c r="J246" s="244">
        <v>13</v>
      </c>
      <c r="K246" s="528" t="s">
        <v>635</v>
      </c>
      <c r="L246" s="244" t="s">
        <v>337</v>
      </c>
      <c r="M246" s="244">
        <v>1</v>
      </c>
      <c r="N246" s="851">
        <v>16236000</v>
      </c>
      <c r="O246" s="851">
        <v>16236000</v>
      </c>
    </row>
    <row r="247" spans="10:15">
      <c r="J247" s="244">
        <v>14</v>
      </c>
      <c r="K247" s="528" t="s">
        <v>634</v>
      </c>
      <c r="L247" s="244" t="s">
        <v>323</v>
      </c>
      <c r="M247" s="244">
        <v>1</v>
      </c>
      <c r="N247" s="851">
        <v>135000000</v>
      </c>
      <c r="O247" s="851">
        <v>135000000</v>
      </c>
    </row>
    <row r="248" spans="10:15">
      <c r="J248" s="244">
        <v>15</v>
      </c>
      <c r="K248" s="528" t="s">
        <v>1076</v>
      </c>
      <c r="L248" s="244" t="s">
        <v>323</v>
      </c>
      <c r="M248" s="244">
        <v>1</v>
      </c>
      <c r="N248" s="851">
        <v>14445000</v>
      </c>
      <c r="O248" s="851">
        <v>14445000</v>
      </c>
    </row>
    <row r="249" spans="10:15">
      <c r="J249" s="244">
        <v>16</v>
      </c>
      <c r="K249" s="528" t="s">
        <v>1077</v>
      </c>
      <c r="L249" s="244" t="s">
        <v>323</v>
      </c>
      <c r="M249" s="244">
        <v>1</v>
      </c>
      <c r="N249" s="851">
        <v>3990000</v>
      </c>
      <c r="O249" s="851">
        <v>3990000</v>
      </c>
    </row>
    <row r="250" spans="10:15">
      <c r="J250" s="244">
        <v>17</v>
      </c>
      <c r="K250" s="528" t="s">
        <v>343</v>
      </c>
      <c r="L250" s="244" t="s">
        <v>323</v>
      </c>
      <c r="M250" s="244">
        <v>1</v>
      </c>
      <c r="N250" s="851">
        <v>78082000</v>
      </c>
      <c r="O250" s="851">
        <v>78082000</v>
      </c>
    </row>
    <row r="251" spans="10:15">
      <c r="J251" s="244">
        <v>18</v>
      </c>
      <c r="K251" s="528" t="s">
        <v>1078</v>
      </c>
      <c r="L251" s="244" t="s">
        <v>323</v>
      </c>
      <c r="M251" s="244">
        <v>1</v>
      </c>
      <c r="N251" s="851">
        <v>179900000</v>
      </c>
      <c r="O251" s="851">
        <v>179900000</v>
      </c>
    </row>
    <row r="252" spans="10:15">
      <c r="J252" s="244">
        <v>19</v>
      </c>
      <c r="K252" s="528" t="s">
        <v>1079</v>
      </c>
      <c r="L252" s="244" t="s">
        <v>323</v>
      </c>
      <c r="M252" s="244">
        <v>1</v>
      </c>
      <c r="N252" s="851">
        <v>500000000</v>
      </c>
      <c r="O252" s="851">
        <v>500000000</v>
      </c>
    </row>
    <row r="253" spans="10:15">
      <c r="J253" s="244">
        <v>20</v>
      </c>
      <c r="K253" s="528" t="s">
        <v>1080</v>
      </c>
      <c r="L253" s="244" t="s">
        <v>323</v>
      </c>
      <c r="M253" s="244">
        <v>1</v>
      </c>
      <c r="N253" s="851">
        <v>15150000</v>
      </c>
      <c r="O253" s="851">
        <v>15150000</v>
      </c>
    </row>
    <row r="254" spans="10:15">
      <c r="J254" s="244">
        <v>21</v>
      </c>
      <c r="K254" s="528" t="s">
        <v>1081</v>
      </c>
      <c r="L254" s="244" t="s">
        <v>323</v>
      </c>
      <c r="M254" s="244">
        <v>1</v>
      </c>
      <c r="N254" s="851">
        <v>16900000</v>
      </c>
      <c r="O254" s="851">
        <v>16900000</v>
      </c>
    </row>
    <row r="255" spans="10:15">
      <c r="J255" s="244">
        <v>22</v>
      </c>
      <c r="K255" s="528" t="s">
        <v>1082</v>
      </c>
      <c r="L255" s="244" t="s">
        <v>323</v>
      </c>
      <c r="M255" s="244">
        <v>1</v>
      </c>
      <c r="N255" s="851">
        <v>1999000</v>
      </c>
      <c r="O255" s="851">
        <v>1999000</v>
      </c>
    </row>
    <row r="256" spans="10:15">
      <c r="J256" s="244">
        <v>23</v>
      </c>
      <c r="K256" s="528" t="s">
        <v>1083</v>
      </c>
      <c r="L256" s="244" t="s">
        <v>323</v>
      </c>
      <c r="M256" s="244">
        <v>1</v>
      </c>
      <c r="N256" s="851">
        <v>15690000</v>
      </c>
      <c r="O256" s="851">
        <v>15690000</v>
      </c>
    </row>
    <row r="257" spans="10:15">
      <c r="J257" s="244">
        <v>24</v>
      </c>
      <c r="K257" s="528" t="s">
        <v>1084</v>
      </c>
      <c r="L257" s="244" t="s">
        <v>323</v>
      </c>
      <c r="M257" s="244">
        <v>1</v>
      </c>
      <c r="N257" s="851">
        <v>465000</v>
      </c>
      <c r="O257" s="851">
        <v>465000</v>
      </c>
    </row>
    <row r="258" spans="10:15">
      <c r="J258" s="244">
        <v>25</v>
      </c>
      <c r="K258" s="528" t="s">
        <v>391</v>
      </c>
      <c r="L258" s="244" t="s">
        <v>323</v>
      </c>
      <c r="M258" s="244">
        <v>1</v>
      </c>
      <c r="N258" s="851">
        <v>85223000</v>
      </c>
      <c r="O258" s="851">
        <v>85223000</v>
      </c>
    </row>
    <row r="259" spans="10:15">
      <c r="J259" s="244">
        <v>26</v>
      </c>
      <c r="K259" s="528" t="s">
        <v>633</v>
      </c>
      <c r="L259" s="244" t="s">
        <v>323</v>
      </c>
      <c r="M259" s="244">
        <v>1</v>
      </c>
      <c r="N259" s="851">
        <v>280800000</v>
      </c>
      <c r="O259" s="851">
        <v>280800000</v>
      </c>
    </row>
    <row r="260" spans="10:15">
      <c r="J260" s="167" t="s">
        <v>540</v>
      </c>
      <c r="K260" s="172" t="s">
        <v>1085</v>
      </c>
      <c r="L260" s="244"/>
      <c r="M260" s="244"/>
      <c r="N260" s="851">
        <v>0</v>
      </c>
      <c r="O260" s="851">
        <v>0</v>
      </c>
    </row>
    <row r="261" spans="10:15">
      <c r="J261" s="244">
        <v>1</v>
      </c>
      <c r="K261" s="528" t="s">
        <v>1086</v>
      </c>
      <c r="L261" s="244" t="s">
        <v>1087</v>
      </c>
      <c r="M261" s="244">
        <v>1</v>
      </c>
      <c r="N261" s="851">
        <v>13600000</v>
      </c>
      <c r="O261" s="851">
        <v>13600000</v>
      </c>
    </row>
    <row r="262" spans="10:15">
      <c r="J262" s="244">
        <v>2</v>
      </c>
      <c r="K262" s="528" t="s">
        <v>1088</v>
      </c>
      <c r="L262" s="244" t="s">
        <v>1087</v>
      </c>
      <c r="M262" s="244">
        <v>1</v>
      </c>
      <c r="N262" s="851">
        <v>170790000</v>
      </c>
      <c r="O262" s="851">
        <v>170790000</v>
      </c>
    </row>
    <row r="263" spans="10:15">
      <c r="J263" s="244">
        <v>3</v>
      </c>
      <c r="K263" s="528" t="s">
        <v>1089</v>
      </c>
      <c r="L263" s="244" t="s">
        <v>1087</v>
      </c>
      <c r="M263" s="244">
        <v>1</v>
      </c>
      <c r="N263" s="851">
        <v>170790000</v>
      </c>
      <c r="O263" s="851">
        <v>170790000</v>
      </c>
    </row>
    <row r="264" spans="10:15">
      <c r="J264" s="244">
        <v>4</v>
      </c>
      <c r="K264" s="528" t="s">
        <v>1090</v>
      </c>
      <c r="L264" s="244" t="s">
        <v>323</v>
      </c>
      <c r="M264" s="244">
        <v>1</v>
      </c>
      <c r="N264" s="851">
        <v>49253000</v>
      </c>
      <c r="O264" s="851">
        <v>49253000</v>
      </c>
    </row>
    <row r="265" spans="10:15">
      <c r="J265" s="244">
        <v>5</v>
      </c>
      <c r="K265" s="528" t="s">
        <v>1091</v>
      </c>
      <c r="L265" s="244" t="s">
        <v>323</v>
      </c>
      <c r="M265" s="244">
        <v>1</v>
      </c>
      <c r="N265" s="851">
        <v>113048000</v>
      </c>
      <c r="O265" s="851">
        <v>113048000</v>
      </c>
    </row>
    <row r="266" spans="10:15">
      <c r="J266" s="244">
        <v>6</v>
      </c>
      <c r="K266" s="528" t="s">
        <v>1092</v>
      </c>
      <c r="L266" s="244" t="s">
        <v>323</v>
      </c>
      <c r="M266" s="244">
        <v>1</v>
      </c>
      <c r="N266" s="851">
        <v>148270000</v>
      </c>
      <c r="O266" s="851">
        <v>148270000</v>
      </c>
    </row>
    <row r="267" spans="10:15">
      <c r="J267" s="244">
        <v>7</v>
      </c>
      <c r="K267" s="528" t="s">
        <v>1093</v>
      </c>
      <c r="L267" s="244" t="s">
        <v>323</v>
      </c>
      <c r="M267" s="244">
        <v>1</v>
      </c>
      <c r="N267" s="851">
        <v>7077285000</v>
      </c>
      <c r="O267" s="851">
        <v>7077285000</v>
      </c>
    </row>
    <row r="268" spans="10:15">
      <c r="J268" s="244">
        <v>8</v>
      </c>
      <c r="K268" s="528" t="s">
        <v>1094</v>
      </c>
      <c r="L268" s="244" t="s">
        <v>323</v>
      </c>
      <c r="M268" s="244">
        <v>1</v>
      </c>
      <c r="N268" s="851">
        <v>47848218</v>
      </c>
      <c r="O268" s="851">
        <v>47848218</v>
      </c>
    </row>
    <row r="269" spans="10:15">
      <c r="J269" s="244">
        <v>9</v>
      </c>
      <c r="K269" s="528" t="s">
        <v>1095</v>
      </c>
      <c r="L269" s="244" t="s">
        <v>337</v>
      </c>
      <c r="M269" s="244">
        <v>1</v>
      </c>
      <c r="N269" s="851">
        <v>205675344</v>
      </c>
      <c r="O269" s="851">
        <v>205675344</v>
      </c>
    </row>
    <row r="270" spans="10:15">
      <c r="J270" s="244">
        <v>10</v>
      </c>
      <c r="K270" s="528" t="s">
        <v>1096</v>
      </c>
      <c r="L270" s="244" t="s">
        <v>323</v>
      </c>
      <c r="M270" s="244">
        <v>1</v>
      </c>
      <c r="N270" s="851">
        <v>3383302252</v>
      </c>
      <c r="O270" s="851">
        <v>3383302252</v>
      </c>
    </row>
    <row r="271" spans="10:15">
      <c r="J271" s="244">
        <v>11</v>
      </c>
      <c r="K271" s="528" t="s">
        <v>1097</v>
      </c>
      <c r="L271" s="244" t="s">
        <v>323</v>
      </c>
      <c r="M271" s="244">
        <v>1</v>
      </c>
      <c r="N271" s="851">
        <v>193600000</v>
      </c>
      <c r="O271" s="851">
        <v>193600000</v>
      </c>
    </row>
    <row r="272" spans="10:15">
      <c r="J272" s="244">
        <v>12</v>
      </c>
      <c r="K272" s="528" t="s">
        <v>1098</v>
      </c>
      <c r="L272" s="244" t="s">
        <v>323</v>
      </c>
      <c r="M272" s="244">
        <v>1</v>
      </c>
      <c r="N272" s="851">
        <v>520000000</v>
      </c>
      <c r="O272" s="851">
        <v>520000000</v>
      </c>
    </row>
    <row r="273" spans="10:15">
      <c r="J273" s="244">
        <v>13</v>
      </c>
      <c r="K273" s="528" t="s">
        <v>1099</v>
      </c>
      <c r="L273" s="244" t="s">
        <v>1087</v>
      </c>
      <c r="M273" s="244">
        <v>1</v>
      </c>
      <c r="N273" s="851">
        <v>123024630</v>
      </c>
      <c r="O273" s="851">
        <v>123024630</v>
      </c>
    </row>
    <row r="274" spans="10:15">
      <c r="J274" s="244">
        <v>14</v>
      </c>
      <c r="K274" s="528" t="s">
        <v>1100</v>
      </c>
      <c r="L274" s="244" t="s">
        <v>1087</v>
      </c>
      <c r="M274" s="244">
        <v>1</v>
      </c>
      <c r="N274" s="851">
        <v>70012160</v>
      </c>
      <c r="O274" s="851">
        <v>70012160</v>
      </c>
    </row>
    <row r="275" spans="10:15">
      <c r="J275" s="244">
        <v>15</v>
      </c>
      <c r="K275" s="528" t="s">
        <v>1101</v>
      </c>
      <c r="L275" s="244" t="s">
        <v>1087</v>
      </c>
      <c r="M275" s="244">
        <v>1</v>
      </c>
      <c r="N275" s="851">
        <v>45899490</v>
      </c>
      <c r="O275" s="851">
        <v>45899490</v>
      </c>
    </row>
    <row r="276" spans="10:15">
      <c r="J276" s="244">
        <v>16</v>
      </c>
      <c r="K276" s="528" t="s">
        <v>1102</v>
      </c>
      <c r="L276" s="244" t="s">
        <v>1087</v>
      </c>
      <c r="M276" s="244">
        <v>1</v>
      </c>
      <c r="N276" s="851">
        <v>12300000</v>
      </c>
      <c r="O276" s="851">
        <v>12300000</v>
      </c>
    </row>
    <row r="277" spans="10:15">
      <c r="J277" s="244">
        <v>17</v>
      </c>
      <c r="K277" s="528" t="s">
        <v>1103</v>
      </c>
      <c r="L277" s="244" t="s">
        <v>1087</v>
      </c>
      <c r="M277" s="244">
        <v>1</v>
      </c>
      <c r="N277" s="851">
        <v>7590000</v>
      </c>
      <c r="O277" s="851">
        <v>7590000</v>
      </c>
    </row>
  </sheetData>
  <mergeCells count="75">
    <mergeCell ref="J4:O4"/>
    <mergeCell ref="D64:F64"/>
    <mergeCell ref="D65:F65"/>
    <mergeCell ref="G64:H64"/>
    <mergeCell ref="G65:H65"/>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39:H39"/>
    <mergeCell ref="D39:F39"/>
    <mergeCell ref="D40:F40"/>
    <mergeCell ref="D41:F41"/>
    <mergeCell ref="D42:F42"/>
    <mergeCell ref="D43:F43"/>
    <mergeCell ref="D50:F50"/>
    <mergeCell ref="D51:F51"/>
    <mergeCell ref="D44:F44"/>
    <mergeCell ref="D45:F45"/>
    <mergeCell ref="D46:F46"/>
    <mergeCell ref="D47:F47"/>
    <mergeCell ref="D48:F48"/>
    <mergeCell ref="D49:F49"/>
    <mergeCell ref="D62:F62"/>
    <mergeCell ref="D52:F52"/>
    <mergeCell ref="D53:F53"/>
    <mergeCell ref="D54:F54"/>
    <mergeCell ref="D55:F55"/>
    <mergeCell ref="D56:F56"/>
    <mergeCell ref="D57:F57"/>
    <mergeCell ref="D61:F61"/>
    <mergeCell ref="D58:F58"/>
    <mergeCell ref="D59:F59"/>
    <mergeCell ref="D60:F60"/>
    <mergeCell ref="G55:H55"/>
    <mergeCell ref="G56:H56"/>
    <mergeCell ref="G50:H50"/>
    <mergeCell ref="G48:H48"/>
    <mergeCell ref="G49:H49"/>
    <mergeCell ref="G46:H46"/>
    <mergeCell ref="G52:H52"/>
    <mergeCell ref="G53:H53"/>
    <mergeCell ref="G47:H47"/>
    <mergeCell ref="G54:H54"/>
    <mergeCell ref="G62:H62"/>
    <mergeCell ref="G63:H63"/>
    <mergeCell ref="A1:H1"/>
    <mergeCell ref="G57:H57"/>
    <mergeCell ref="G58:H58"/>
    <mergeCell ref="G59:H59"/>
    <mergeCell ref="G60:H60"/>
    <mergeCell ref="G61:H61"/>
    <mergeCell ref="G51:H51"/>
    <mergeCell ref="D63:F63"/>
    <mergeCell ref="G40:H40"/>
    <mergeCell ref="G41:H41"/>
    <mergeCell ref="G42:H42"/>
    <mergeCell ref="G43:H43"/>
    <mergeCell ref="G44:H44"/>
    <mergeCell ref="G45:H45"/>
  </mergeCells>
  <printOptions horizontalCentered="1"/>
  <pageMargins left="0.39370078740157483" right="0.23622047244094491" top="0.51181102362204722" bottom="0.51181102362204722" header="0.51181102362204722" footer="0.23622047244094491"/>
  <pageSetup paperSize="9" scale="96" firstPageNumber="51" orientation="portrait" useFirstPageNumber="1" r:id="rId1"/>
  <headerFooter alignWithMargins="0">
    <oddFooter>&amp;C&amp;P</oddFooter>
  </headerFooter>
  <ignoredErrors>
    <ignoredError sqref="F2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4"/>
  <sheetViews>
    <sheetView workbookViewId="0">
      <selection sqref="A1:XFD1048576"/>
    </sheetView>
  </sheetViews>
  <sheetFormatPr defaultColWidth="8.84375" defaultRowHeight="15.5"/>
  <cols>
    <col min="1" max="1" width="8.84375" style="849"/>
    <col min="2" max="2" width="42.84375" style="849" customWidth="1"/>
    <col min="3" max="3" width="7.53515625" style="849" customWidth="1"/>
    <col min="4" max="4" width="8.84375" style="849"/>
    <col min="5" max="6" width="12.4609375" style="849" bestFit="1" customWidth="1"/>
    <col min="7" max="16384" width="8.84375" style="849"/>
  </cols>
  <sheetData>
    <row r="1" spans="1:6" ht="22.5" customHeight="1">
      <c r="A1" s="870" t="s">
        <v>1104</v>
      </c>
      <c r="B1" s="870"/>
      <c r="C1" s="870"/>
      <c r="D1" s="870"/>
      <c r="E1" s="870"/>
      <c r="F1" s="870"/>
    </row>
    <row r="2" spans="1:6">
      <c r="A2" s="167" t="s">
        <v>23</v>
      </c>
      <c r="B2" s="167" t="s">
        <v>895</v>
      </c>
      <c r="C2" s="167" t="s">
        <v>896</v>
      </c>
      <c r="D2" s="167" t="s">
        <v>897</v>
      </c>
      <c r="E2" s="167" t="s">
        <v>898</v>
      </c>
      <c r="F2" s="167" t="s">
        <v>35</v>
      </c>
    </row>
    <row r="3" spans="1:6">
      <c r="A3" s="167" t="s">
        <v>25</v>
      </c>
      <c r="B3" s="172" t="s">
        <v>899</v>
      </c>
      <c r="C3" s="167"/>
      <c r="D3" s="167"/>
      <c r="E3" s="850"/>
      <c r="F3" s="850"/>
    </row>
    <row r="4" spans="1:6">
      <c r="A4" s="244">
        <v>1</v>
      </c>
      <c r="B4" s="528" t="s">
        <v>900</v>
      </c>
      <c r="C4" s="244" t="s">
        <v>323</v>
      </c>
      <c r="D4" s="244">
        <v>1</v>
      </c>
      <c r="E4" s="851">
        <v>210000</v>
      </c>
      <c r="F4" s="851">
        <v>210000</v>
      </c>
    </row>
    <row r="5" spans="1:6">
      <c r="A5" s="244">
        <v>2</v>
      </c>
      <c r="B5" s="528" t="s">
        <v>611</v>
      </c>
      <c r="C5" s="244" t="s">
        <v>323</v>
      </c>
      <c r="D5" s="244">
        <v>1</v>
      </c>
      <c r="E5" s="851">
        <v>100000</v>
      </c>
      <c r="F5" s="851">
        <v>100000</v>
      </c>
    </row>
    <row r="6" spans="1:6">
      <c r="A6" s="244">
        <v>3</v>
      </c>
      <c r="B6" s="528" t="s">
        <v>609</v>
      </c>
      <c r="C6" s="244" t="s">
        <v>323</v>
      </c>
      <c r="D6" s="244">
        <v>1</v>
      </c>
      <c r="E6" s="851">
        <v>240000</v>
      </c>
      <c r="F6" s="851">
        <v>240000</v>
      </c>
    </row>
    <row r="7" spans="1:6">
      <c r="A7" s="244">
        <v>4</v>
      </c>
      <c r="B7" s="528" t="s">
        <v>612</v>
      </c>
      <c r="C7" s="244" t="s">
        <v>337</v>
      </c>
      <c r="D7" s="244">
        <v>1</v>
      </c>
      <c r="E7" s="851">
        <v>159000</v>
      </c>
      <c r="F7" s="851">
        <v>159000</v>
      </c>
    </row>
    <row r="8" spans="1:6">
      <c r="A8" s="244">
        <v>5</v>
      </c>
      <c r="B8" s="528" t="s">
        <v>655</v>
      </c>
      <c r="C8" s="244" t="s">
        <v>337</v>
      </c>
      <c r="D8" s="244">
        <v>1</v>
      </c>
      <c r="E8" s="851">
        <v>50000</v>
      </c>
      <c r="F8" s="851">
        <v>50000</v>
      </c>
    </row>
    <row r="9" spans="1:6">
      <c r="A9" s="244">
        <v>6</v>
      </c>
      <c r="B9" s="528" t="s">
        <v>627</v>
      </c>
      <c r="C9" s="244" t="s">
        <v>323</v>
      </c>
      <c r="D9" s="244">
        <v>1</v>
      </c>
      <c r="E9" s="851">
        <v>12000</v>
      </c>
      <c r="F9" s="851">
        <v>12000</v>
      </c>
    </row>
    <row r="10" spans="1:6">
      <c r="A10" s="244">
        <v>7</v>
      </c>
      <c r="B10" s="528" t="s">
        <v>901</v>
      </c>
      <c r="C10" s="244" t="s">
        <v>323</v>
      </c>
      <c r="D10" s="244">
        <v>1</v>
      </c>
      <c r="E10" s="851">
        <v>24000</v>
      </c>
      <c r="F10" s="851">
        <v>24000</v>
      </c>
    </row>
    <row r="11" spans="1:6">
      <c r="A11" s="244">
        <v>8</v>
      </c>
      <c r="B11" s="528" t="s">
        <v>902</v>
      </c>
      <c r="C11" s="244" t="s">
        <v>323</v>
      </c>
      <c r="D11" s="244">
        <v>1</v>
      </c>
      <c r="E11" s="851">
        <v>30000</v>
      </c>
      <c r="F11" s="851">
        <v>30000</v>
      </c>
    </row>
    <row r="12" spans="1:6">
      <c r="A12" s="244">
        <v>9</v>
      </c>
      <c r="B12" s="528" t="s">
        <v>903</v>
      </c>
      <c r="C12" s="244" t="s">
        <v>323</v>
      </c>
      <c r="D12" s="244">
        <v>1</v>
      </c>
      <c r="E12" s="851">
        <v>21000</v>
      </c>
      <c r="F12" s="851">
        <v>21000</v>
      </c>
    </row>
    <row r="13" spans="1:6">
      <c r="A13" s="244">
        <v>10</v>
      </c>
      <c r="B13" s="528" t="s">
        <v>613</v>
      </c>
      <c r="C13" s="244" t="s">
        <v>323</v>
      </c>
      <c r="D13" s="244">
        <v>1</v>
      </c>
      <c r="E13" s="851">
        <v>80000</v>
      </c>
      <c r="F13" s="851">
        <v>80000</v>
      </c>
    </row>
    <row r="14" spans="1:6">
      <c r="A14" s="244">
        <v>11</v>
      </c>
      <c r="B14" s="528" t="s">
        <v>904</v>
      </c>
      <c r="C14" s="244" t="s">
        <v>323</v>
      </c>
      <c r="D14" s="244">
        <v>1</v>
      </c>
      <c r="E14" s="851">
        <v>60000</v>
      </c>
      <c r="F14" s="851">
        <v>60000</v>
      </c>
    </row>
    <row r="15" spans="1:6">
      <c r="A15" s="244">
        <v>12</v>
      </c>
      <c r="B15" s="528" t="s">
        <v>905</v>
      </c>
      <c r="C15" s="244" t="s">
        <v>337</v>
      </c>
      <c r="D15" s="244">
        <v>1</v>
      </c>
      <c r="E15" s="851">
        <v>100000</v>
      </c>
      <c r="F15" s="851">
        <v>100000</v>
      </c>
    </row>
    <row r="16" spans="1:6">
      <c r="A16" s="244">
        <v>13</v>
      </c>
      <c r="B16" s="528" t="s">
        <v>906</v>
      </c>
      <c r="C16" s="244" t="s">
        <v>333</v>
      </c>
      <c r="D16" s="244">
        <v>1</v>
      </c>
      <c r="E16" s="851">
        <v>145000</v>
      </c>
      <c r="F16" s="851">
        <v>145000</v>
      </c>
    </row>
    <row r="17" spans="1:6">
      <c r="A17" s="244">
        <v>14</v>
      </c>
      <c r="B17" s="528" t="s">
        <v>408</v>
      </c>
      <c r="C17" s="244" t="s">
        <v>323</v>
      </c>
      <c r="D17" s="244">
        <v>1</v>
      </c>
      <c r="E17" s="851">
        <v>350000</v>
      </c>
      <c r="F17" s="851">
        <v>350000</v>
      </c>
    </row>
    <row r="18" spans="1:6">
      <c r="A18" s="244">
        <v>15</v>
      </c>
      <c r="B18" s="528" t="s">
        <v>614</v>
      </c>
      <c r="C18" s="244" t="s">
        <v>323</v>
      </c>
      <c r="D18" s="244">
        <v>1</v>
      </c>
      <c r="E18" s="851">
        <v>210000</v>
      </c>
      <c r="F18" s="851">
        <v>210000</v>
      </c>
    </row>
    <row r="19" spans="1:6">
      <c r="A19" s="244">
        <v>16</v>
      </c>
      <c r="B19" s="528" t="s">
        <v>608</v>
      </c>
      <c r="C19" s="244" t="s">
        <v>323</v>
      </c>
      <c r="D19" s="244">
        <v>1</v>
      </c>
      <c r="E19" s="851">
        <v>50000</v>
      </c>
      <c r="F19" s="851">
        <v>50000</v>
      </c>
    </row>
    <row r="20" spans="1:6">
      <c r="A20" s="244">
        <v>17</v>
      </c>
      <c r="B20" s="528" t="s">
        <v>615</v>
      </c>
      <c r="C20" s="244" t="s">
        <v>616</v>
      </c>
      <c r="D20" s="244">
        <v>1</v>
      </c>
      <c r="E20" s="851">
        <v>10000</v>
      </c>
      <c r="F20" s="851">
        <v>10000</v>
      </c>
    </row>
    <row r="21" spans="1:6">
      <c r="A21" s="244">
        <v>18</v>
      </c>
      <c r="B21" s="528" t="s">
        <v>409</v>
      </c>
      <c r="C21" s="244" t="s">
        <v>323</v>
      </c>
      <c r="D21" s="244">
        <v>1</v>
      </c>
      <c r="E21" s="851">
        <v>100000</v>
      </c>
      <c r="F21" s="851">
        <v>100000</v>
      </c>
    </row>
    <row r="22" spans="1:6">
      <c r="A22" s="244">
        <v>19</v>
      </c>
      <c r="B22" s="528" t="s">
        <v>617</v>
      </c>
      <c r="C22" s="244" t="s">
        <v>323</v>
      </c>
      <c r="D22" s="244">
        <v>1</v>
      </c>
      <c r="E22" s="851">
        <v>1380000</v>
      </c>
      <c r="F22" s="851">
        <v>1380000</v>
      </c>
    </row>
    <row r="23" spans="1:6">
      <c r="A23" s="244">
        <v>20</v>
      </c>
      <c r="B23" s="528" t="s">
        <v>610</v>
      </c>
      <c r="C23" s="244" t="s">
        <v>337</v>
      </c>
      <c r="D23" s="244">
        <v>1</v>
      </c>
      <c r="E23" s="851">
        <v>350000</v>
      </c>
      <c r="F23" s="851">
        <v>350000</v>
      </c>
    </row>
    <row r="24" spans="1:6">
      <c r="A24" s="244">
        <v>21</v>
      </c>
      <c r="B24" s="528" t="s">
        <v>907</v>
      </c>
      <c r="C24" s="244" t="s">
        <v>752</v>
      </c>
      <c r="D24" s="244">
        <v>1</v>
      </c>
      <c r="E24" s="851">
        <v>15000</v>
      </c>
      <c r="F24" s="851">
        <v>15000</v>
      </c>
    </row>
    <row r="25" spans="1:6">
      <c r="A25" s="244">
        <v>22</v>
      </c>
      <c r="B25" s="528" t="s">
        <v>908</v>
      </c>
      <c r="C25" s="244" t="s">
        <v>333</v>
      </c>
      <c r="D25" s="244">
        <v>1</v>
      </c>
      <c r="E25" s="851">
        <v>26000</v>
      </c>
      <c r="F25" s="851">
        <v>26000</v>
      </c>
    </row>
    <row r="26" spans="1:6">
      <c r="A26" s="244">
        <v>23</v>
      </c>
      <c r="B26" s="528" t="s">
        <v>909</v>
      </c>
      <c r="C26" s="244" t="s">
        <v>323</v>
      </c>
      <c r="D26" s="244">
        <v>1</v>
      </c>
      <c r="E26" s="851">
        <v>49000</v>
      </c>
      <c r="F26" s="851">
        <v>49000</v>
      </c>
    </row>
    <row r="27" spans="1:6">
      <c r="A27" s="244">
        <v>24</v>
      </c>
      <c r="B27" s="528" t="s">
        <v>618</v>
      </c>
      <c r="C27" s="244" t="s">
        <v>323</v>
      </c>
      <c r="D27" s="244">
        <v>1</v>
      </c>
      <c r="E27" s="851">
        <v>18000</v>
      </c>
      <c r="F27" s="851">
        <v>18000</v>
      </c>
    </row>
    <row r="28" spans="1:6">
      <c r="A28" s="244">
        <v>25</v>
      </c>
      <c r="B28" s="528" t="s">
        <v>910</v>
      </c>
      <c r="C28" s="244" t="s">
        <v>323</v>
      </c>
      <c r="D28" s="244">
        <v>1</v>
      </c>
      <c r="E28" s="851">
        <v>5000</v>
      </c>
      <c r="F28" s="851">
        <v>5000</v>
      </c>
    </row>
    <row r="29" spans="1:6">
      <c r="A29" s="244">
        <v>26</v>
      </c>
      <c r="B29" s="528" t="s">
        <v>911</v>
      </c>
      <c r="C29" s="244" t="s">
        <v>323</v>
      </c>
      <c r="D29" s="244">
        <v>1</v>
      </c>
      <c r="E29" s="851">
        <v>50000</v>
      </c>
      <c r="F29" s="851">
        <v>50000</v>
      </c>
    </row>
    <row r="30" spans="1:6">
      <c r="A30" s="244">
        <v>27</v>
      </c>
      <c r="B30" s="528" t="s">
        <v>912</v>
      </c>
      <c r="C30" s="244" t="s">
        <v>323</v>
      </c>
      <c r="D30" s="244">
        <v>1</v>
      </c>
      <c r="E30" s="851">
        <v>120000</v>
      </c>
      <c r="F30" s="851">
        <v>120000</v>
      </c>
    </row>
    <row r="31" spans="1:6">
      <c r="A31" s="244">
        <v>28</v>
      </c>
      <c r="B31" s="528" t="s">
        <v>913</v>
      </c>
      <c r="C31" s="244" t="s">
        <v>323</v>
      </c>
      <c r="D31" s="244">
        <v>1</v>
      </c>
      <c r="E31" s="851">
        <v>30000</v>
      </c>
      <c r="F31" s="851">
        <v>30000</v>
      </c>
    </row>
    <row r="32" spans="1:6">
      <c r="A32" s="244">
        <v>29</v>
      </c>
      <c r="B32" s="528" t="s">
        <v>628</v>
      </c>
      <c r="C32" s="244" t="s">
        <v>323</v>
      </c>
      <c r="D32" s="244">
        <v>1</v>
      </c>
      <c r="E32" s="851">
        <v>450000</v>
      </c>
      <c r="F32" s="851">
        <v>450000</v>
      </c>
    </row>
    <row r="33" spans="1:6">
      <c r="A33" s="244">
        <v>30</v>
      </c>
      <c r="B33" s="528" t="s">
        <v>914</v>
      </c>
      <c r="C33" s="244" t="s">
        <v>323</v>
      </c>
      <c r="D33" s="244">
        <v>1</v>
      </c>
      <c r="E33" s="851">
        <v>1500000</v>
      </c>
      <c r="F33" s="851">
        <v>1500000</v>
      </c>
    </row>
    <row r="34" spans="1:6">
      <c r="A34" s="244">
        <v>31</v>
      </c>
      <c r="B34" s="528" t="s">
        <v>915</v>
      </c>
      <c r="C34" s="244" t="s">
        <v>323</v>
      </c>
      <c r="D34" s="244">
        <v>1</v>
      </c>
      <c r="E34" s="851">
        <v>43000</v>
      </c>
      <c r="F34" s="851">
        <v>43000</v>
      </c>
    </row>
    <row r="35" spans="1:6">
      <c r="A35" s="244">
        <v>32</v>
      </c>
      <c r="B35" s="528" t="s">
        <v>619</v>
      </c>
      <c r="C35" s="244" t="s">
        <v>323</v>
      </c>
      <c r="D35" s="244">
        <v>1</v>
      </c>
      <c r="E35" s="851">
        <v>50000</v>
      </c>
      <c r="F35" s="851">
        <v>50000</v>
      </c>
    </row>
    <row r="36" spans="1:6">
      <c r="A36" s="244">
        <v>33</v>
      </c>
      <c r="B36" s="528" t="s">
        <v>620</v>
      </c>
      <c r="C36" s="244" t="s">
        <v>323</v>
      </c>
      <c r="D36" s="244">
        <v>1</v>
      </c>
      <c r="E36" s="851">
        <v>80000</v>
      </c>
      <c r="F36" s="851">
        <v>80000</v>
      </c>
    </row>
    <row r="37" spans="1:6">
      <c r="A37" s="244">
        <v>34</v>
      </c>
      <c r="B37" s="528" t="s">
        <v>916</v>
      </c>
      <c r="C37" s="244" t="s">
        <v>323</v>
      </c>
      <c r="D37" s="244">
        <v>1</v>
      </c>
      <c r="E37" s="851">
        <v>180000</v>
      </c>
      <c r="F37" s="851">
        <v>180000</v>
      </c>
    </row>
    <row r="38" spans="1:6">
      <c r="A38" s="244">
        <v>35</v>
      </c>
      <c r="B38" s="528" t="s">
        <v>917</v>
      </c>
      <c r="C38" s="244" t="s">
        <v>323</v>
      </c>
      <c r="D38" s="244">
        <v>1</v>
      </c>
      <c r="E38" s="851">
        <v>87000</v>
      </c>
      <c r="F38" s="851">
        <v>87000</v>
      </c>
    </row>
    <row r="39" spans="1:6">
      <c r="A39" s="244">
        <v>36</v>
      </c>
      <c r="B39" s="528" t="s">
        <v>918</v>
      </c>
      <c r="C39" s="244" t="s">
        <v>323</v>
      </c>
      <c r="D39" s="244">
        <v>1</v>
      </c>
      <c r="E39" s="851">
        <v>150000</v>
      </c>
      <c r="F39" s="851">
        <v>150000</v>
      </c>
    </row>
    <row r="40" spans="1:6">
      <c r="A40" s="244">
        <v>37</v>
      </c>
      <c r="B40" s="528" t="s">
        <v>621</v>
      </c>
      <c r="C40" s="244" t="s">
        <v>359</v>
      </c>
      <c r="D40" s="244">
        <v>1</v>
      </c>
      <c r="E40" s="851">
        <v>15000</v>
      </c>
      <c r="F40" s="851">
        <v>15000</v>
      </c>
    </row>
    <row r="41" spans="1:6">
      <c r="A41" s="244">
        <v>38</v>
      </c>
      <c r="B41" s="528" t="s">
        <v>919</v>
      </c>
      <c r="C41" s="244" t="s">
        <v>323</v>
      </c>
      <c r="D41" s="244">
        <v>1</v>
      </c>
      <c r="E41" s="851">
        <v>287000</v>
      </c>
      <c r="F41" s="851">
        <v>287000</v>
      </c>
    </row>
    <row r="42" spans="1:6">
      <c r="A42" s="244">
        <v>39</v>
      </c>
      <c r="B42" s="528" t="s">
        <v>327</v>
      </c>
      <c r="C42" s="244" t="s">
        <v>323</v>
      </c>
      <c r="D42" s="244">
        <v>1</v>
      </c>
      <c r="E42" s="851">
        <v>205000</v>
      </c>
      <c r="F42" s="851">
        <v>205000</v>
      </c>
    </row>
    <row r="43" spans="1:6">
      <c r="A43" s="244">
        <v>40</v>
      </c>
      <c r="B43" s="528" t="s">
        <v>622</v>
      </c>
      <c r="C43" s="244" t="s">
        <v>323</v>
      </c>
      <c r="D43" s="244">
        <v>1</v>
      </c>
      <c r="E43" s="851">
        <v>30000</v>
      </c>
      <c r="F43" s="851">
        <v>30000</v>
      </c>
    </row>
    <row r="44" spans="1:6">
      <c r="A44" s="244">
        <v>41</v>
      </c>
      <c r="B44" s="528" t="s">
        <v>623</v>
      </c>
      <c r="C44" s="244" t="s">
        <v>323</v>
      </c>
      <c r="D44" s="244">
        <v>1</v>
      </c>
      <c r="E44" s="851">
        <v>50000</v>
      </c>
      <c r="F44" s="851">
        <v>50000</v>
      </c>
    </row>
    <row r="45" spans="1:6">
      <c r="A45" s="244">
        <v>42</v>
      </c>
      <c r="B45" s="528" t="s">
        <v>624</v>
      </c>
      <c r="C45" s="244" t="s">
        <v>323</v>
      </c>
      <c r="D45" s="244">
        <v>1</v>
      </c>
      <c r="E45" s="851">
        <v>15000</v>
      </c>
      <c r="F45" s="851">
        <v>15000</v>
      </c>
    </row>
    <row r="46" spans="1:6">
      <c r="A46" s="244">
        <v>43</v>
      </c>
      <c r="B46" s="528" t="s">
        <v>920</v>
      </c>
      <c r="C46" s="244" t="s">
        <v>323</v>
      </c>
      <c r="D46" s="244">
        <v>1</v>
      </c>
      <c r="E46" s="851">
        <v>1100000</v>
      </c>
      <c r="F46" s="851">
        <v>1100000</v>
      </c>
    </row>
    <row r="47" spans="1:6">
      <c r="A47" s="244">
        <v>44</v>
      </c>
      <c r="B47" s="528" t="s">
        <v>921</v>
      </c>
      <c r="C47" s="244" t="s">
        <v>323</v>
      </c>
      <c r="D47" s="244">
        <v>1</v>
      </c>
      <c r="E47" s="851">
        <v>300000</v>
      </c>
      <c r="F47" s="851">
        <v>300000</v>
      </c>
    </row>
    <row r="48" spans="1:6">
      <c r="A48" s="244">
        <v>45</v>
      </c>
      <c r="B48" s="528" t="s">
        <v>922</v>
      </c>
      <c r="C48" s="244" t="s">
        <v>323</v>
      </c>
      <c r="D48" s="244">
        <v>1</v>
      </c>
      <c r="E48" s="851">
        <v>198000</v>
      </c>
      <c r="F48" s="851">
        <v>198000</v>
      </c>
    </row>
    <row r="49" spans="1:6">
      <c r="A49" s="244">
        <v>46</v>
      </c>
      <c r="B49" s="528" t="s">
        <v>923</v>
      </c>
      <c r="C49" s="244" t="s">
        <v>323</v>
      </c>
      <c r="D49" s="244">
        <v>1</v>
      </c>
      <c r="E49" s="851">
        <v>66000</v>
      </c>
      <c r="F49" s="851">
        <v>66000</v>
      </c>
    </row>
    <row r="50" spans="1:6">
      <c r="A50" s="244">
        <v>47</v>
      </c>
      <c r="B50" s="528" t="s">
        <v>924</v>
      </c>
      <c r="C50" s="244" t="s">
        <v>323</v>
      </c>
      <c r="D50" s="244">
        <v>1</v>
      </c>
      <c r="E50" s="851">
        <v>4082000</v>
      </c>
      <c r="F50" s="851">
        <v>4082000</v>
      </c>
    </row>
    <row r="51" spans="1:6">
      <c r="A51" s="244">
        <v>48</v>
      </c>
      <c r="B51" s="528" t="s">
        <v>925</v>
      </c>
      <c r="C51" s="244" t="s">
        <v>359</v>
      </c>
      <c r="D51" s="244">
        <v>1</v>
      </c>
      <c r="E51" s="851">
        <v>15000</v>
      </c>
      <c r="F51" s="851">
        <v>15000</v>
      </c>
    </row>
    <row r="52" spans="1:6">
      <c r="A52" s="244">
        <v>49</v>
      </c>
      <c r="B52" s="528" t="s">
        <v>625</v>
      </c>
      <c r="C52" s="244" t="s">
        <v>337</v>
      </c>
      <c r="D52" s="244">
        <v>1</v>
      </c>
      <c r="E52" s="851">
        <v>175000</v>
      </c>
      <c r="F52" s="851">
        <v>175000</v>
      </c>
    </row>
    <row r="53" spans="1:6">
      <c r="A53" s="244">
        <v>50</v>
      </c>
      <c r="B53" s="528" t="s">
        <v>626</v>
      </c>
      <c r="C53" s="244" t="s">
        <v>323</v>
      </c>
      <c r="D53" s="244">
        <v>1</v>
      </c>
      <c r="E53" s="851">
        <v>83000</v>
      </c>
      <c r="F53" s="851">
        <v>83000</v>
      </c>
    </row>
    <row r="54" spans="1:6">
      <c r="A54" s="244">
        <v>51</v>
      </c>
      <c r="B54" s="528" t="s">
        <v>926</v>
      </c>
      <c r="C54" s="244" t="s">
        <v>323</v>
      </c>
      <c r="D54" s="244">
        <v>1</v>
      </c>
      <c r="E54" s="851">
        <v>20000</v>
      </c>
      <c r="F54" s="851">
        <v>20000</v>
      </c>
    </row>
    <row r="55" spans="1:6">
      <c r="A55" s="244">
        <v>52</v>
      </c>
      <c r="B55" s="528" t="s">
        <v>927</v>
      </c>
      <c r="C55" s="244" t="s">
        <v>752</v>
      </c>
      <c r="D55" s="244">
        <v>1</v>
      </c>
      <c r="E55" s="851">
        <v>50000</v>
      </c>
      <c r="F55" s="851">
        <v>50000</v>
      </c>
    </row>
    <row r="56" spans="1:6">
      <c r="A56" s="244">
        <v>53</v>
      </c>
      <c r="B56" s="528" t="s">
        <v>629</v>
      </c>
      <c r="C56" s="244" t="s">
        <v>323</v>
      </c>
      <c r="D56" s="244">
        <v>1</v>
      </c>
      <c r="E56" s="851">
        <v>700000</v>
      </c>
      <c r="F56" s="851">
        <v>700000</v>
      </c>
    </row>
    <row r="57" spans="1:6">
      <c r="A57" s="244">
        <v>54</v>
      </c>
      <c r="B57" s="528" t="s">
        <v>928</v>
      </c>
      <c r="C57" s="244" t="s">
        <v>323</v>
      </c>
      <c r="D57" s="244">
        <v>1</v>
      </c>
      <c r="E57" s="851">
        <v>140000</v>
      </c>
      <c r="F57" s="851">
        <v>140000</v>
      </c>
    </row>
    <row r="58" spans="1:6">
      <c r="A58" s="244">
        <v>55</v>
      </c>
      <c r="B58" s="528" t="s">
        <v>929</v>
      </c>
      <c r="C58" s="244" t="s">
        <v>323</v>
      </c>
      <c r="D58" s="244">
        <v>1</v>
      </c>
      <c r="E58" s="851">
        <v>500000</v>
      </c>
      <c r="F58" s="851">
        <v>500000</v>
      </c>
    </row>
    <row r="59" spans="1:6">
      <c r="A59" s="244">
        <v>57</v>
      </c>
      <c r="B59" s="528" t="s">
        <v>608</v>
      </c>
      <c r="C59" s="244" t="s">
        <v>323</v>
      </c>
      <c r="D59" s="244">
        <v>1</v>
      </c>
      <c r="E59" s="851">
        <v>50000</v>
      </c>
      <c r="F59" s="851">
        <v>50000</v>
      </c>
    </row>
    <row r="60" spans="1:6">
      <c r="A60" s="244">
        <v>58</v>
      </c>
      <c r="B60" s="528" t="s">
        <v>927</v>
      </c>
      <c r="C60" s="244" t="s">
        <v>752</v>
      </c>
      <c r="D60" s="244">
        <v>1</v>
      </c>
      <c r="E60" s="851">
        <v>50000</v>
      </c>
      <c r="F60" s="851">
        <v>50000</v>
      </c>
    </row>
    <row r="61" spans="1:6">
      <c r="A61" s="244">
        <v>59</v>
      </c>
      <c r="B61" s="528" t="s">
        <v>930</v>
      </c>
      <c r="C61" s="244" t="s">
        <v>323</v>
      </c>
      <c r="D61" s="244">
        <v>1</v>
      </c>
      <c r="E61" s="851">
        <v>2000000</v>
      </c>
      <c r="F61" s="851">
        <v>2000000</v>
      </c>
    </row>
    <row r="62" spans="1:6">
      <c r="A62" s="244">
        <v>60</v>
      </c>
      <c r="B62" s="528" t="s">
        <v>632</v>
      </c>
      <c r="C62" s="244" t="s">
        <v>323</v>
      </c>
      <c r="D62" s="244">
        <v>1</v>
      </c>
      <c r="E62" s="851">
        <v>2400000</v>
      </c>
      <c r="F62" s="851">
        <v>2400000</v>
      </c>
    </row>
    <row r="63" spans="1:6">
      <c r="A63" s="244">
        <v>61</v>
      </c>
      <c r="B63" s="528" t="s">
        <v>607</v>
      </c>
      <c r="C63" s="244" t="s">
        <v>323</v>
      </c>
      <c r="D63" s="244">
        <v>1</v>
      </c>
      <c r="E63" s="851">
        <v>87000</v>
      </c>
      <c r="F63" s="851">
        <v>87000</v>
      </c>
    </row>
    <row r="64" spans="1:6">
      <c r="A64" s="244">
        <v>62</v>
      </c>
      <c r="B64" s="528" t="s">
        <v>931</v>
      </c>
      <c r="C64" s="244" t="s">
        <v>323</v>
      </c>
      <c r="D64" s="244">
        <v>1</v>
      </c>
      <c r="E64" s="851">
        <v>93000</v>
      </c>
      <c r="F64" s="851">
        <v>93000</v>
      </c>
    </row>
    <row r="65" spans="1:6">
      <c r="A65" s="244">
        <v>63</v>
      </c>
      <c r="B65" s="528" t="s">
        <v>652</v>
      </c>
      <c r="C65" s="244" t="s">
        <v>323</v>
      </c>
      <c r="D65" s="244">
        <v>1</v>
      </c>
      <c r="E65" s="851">
        <v>247000</v>
      </c>
      <c r="F65" s="851">
        <v>247000</v>
      </c>
    </row>
    <row r="66" spans="1:6">
      <c r="A66" s="244">
        <v>64</v>
      </c>
      <c r="B66" s="528" t="s">
        <v>932</v>
      </c>
      <c r="C66" s="244" t="s">
        <v>323</v>
      </c>
      <c r="D66" s="244">
        <v>1</v>
      </c>
      <c r="E66" s="851">
        <v>175000</v>
      </c>
      <c r="F66" s="851">
        <v>175000</v>
      </c>
    </row>
    <row r="67" spans="1:6">
      <c r="A67" s="244">
        <v>65</v>
      </c>
      <c r="B67" s="528" t="s">
        <v>656</v>
      </c>
      <c r="C67" s="244" t="s">
        <v>933</v>
      </c>
      <c r="D67" s="244">
        <v>1</v>
      </c>
      <c r="E67" s="851">
        <v>2226</v>
      </c>
      <c r="F67" s="851">
        <v>2226</v>
      </c>
    </row>
    <row r="68" spans="1:6">
      <c r="A68" s="244">
        <v>66</v>
      </c>
      <c r="B68" s="528" t="s">
        <v>934</v>
      </c>
      <c r="C68" s="244" t="s">
        <v>323</v>
      </c>
      <c r="D68" s="244">
        <v>1</v>
      </c>
      <c r="E68" s="851">
        <v>819000</v>
      </c>
      <c r="F68" s="851">
        <v>819000</v>
      </c>
    </row>
    <row r="69" spans="1:6">
      <c r="A69" s="244">
        <v>67</v>
      </c>
      <c r="B69" s="528" t="s">
        <v>935</v>
      </c>
      <c r="C69" s="244" t="s">
        <v>323</v>
      </c>
      <c r="D69" s="244">
        <v>1</v>
      </c>
      <c r="E69" s="851">
        <v>285000</v>
      </c>
      <c r="F69" s="851">
        <v>285000</v>
      </c>
    </row>
    <row r="70" spans="1:6">
      <c r="A70" s="244">
        <v>68</v>
      </c>
      <c r="B70" s="528" t="s">
        <v>324</v>
      </c>
      <c r="C70" s="244" t="s">
        <v>323</v>
      </c>
      <c r="D70" s="244">
        <v>1</v>
      </c>
      <c r="E70" s="851">
        <v>300000</v>
      </c>
      <c r="F70" s="851">
        <v>300000</v>
      </c>
    </row>
    <row r="71" spans="1:6">
      <c r="A71" s="244">
        <v>69</v>
      </c>
      <c r="B71" s="528" t="s">
        <v>936</v>
      </c>
      <c r="C71" s="244" t="s">
        <v>333</v>
      </c>
      <c r="D71" s="244">
        <v>1</v>
      </c>
      <c r="E71" s="851">
        <v>25000</v>
      </c>
      <c r="F71" s="851">
        <v>25000</v>
      </c>
    </row>
    <row r="72" spans="1:6">
      <c r="A72" s="244">
        <v>70</v>
      </c>
      <c r="B72" s="528" t="s">
        <v>937</v>
      </c>
      <c r="C72" s="244" t="s">
        <v>323</v>
      </c>
      <c r="D72" s="244">
        <v>1</v>
      </c>
      <c r="E72" s="851">
        <v>150000</v>
      </c>
      <c r="F72" s="851">
        <v>150000</v>
      </c>
    </row>
    <row r="73" spans="1:6">
      <c r="A73" s="244">
        <v>71</v>
      </c>
      <c r="B73" s="528" t="s">
        <v>938</v>
      </c>
      <c r="C73" s="244" t="s">
        <v>323</v>
      </c>
      <c r="D73" s="244">
        <v>1</v>
      </c>
      <c r="E73" s="851">
        <v>1660000</v>
      </c>
      <c r="F73" s="851">
        <v>1660000</v>
      </c>
    </row>
    <row r="74" spans="1:6">
      <c r="A74" s="244">
        <v>72</v>
      </c>
      <c r="B74" s="528" t="s">
        <v>47</v>
      </c>
      <c r="C74" s="244" t="s">
        <v>323</v>
      </c>
      <c r="D74" s="244">
        <v>1</v>
      </c>
      <c r="E74" s="851">
        <v>1500000</v>
      </c>
      <c r="F74" s="851">
        <v>1500000</v>
      </c>
    </row>
    <row r="75" spans="1:6">
      <c r="A75" s="244">
        <v>73</v>
      </c>
      <c r="B75" s="528" t="s">
        <v>939</v>
      </c>
      <c r="C75" s="244" t="s">
        <v>323</v>
      </c>
      <c r="D75" s="244">
        <v>1</v>
      </c>
      <c r="E75" s="851">
        <v>600000</v>
      </c>
      <c r="F75" s="851">
        <v>600000</v>
      </c>
    </row>
    <row r="76" spans="1:6">
      <c r="A76" s="244">
        <v>74</v>
      </c>
      <c r="B76" s="528" t="s">
        <v>322</v>
      </c>
      <c r="C76" s="244" t="s">
        <v>323</v>
      </c>
      <c r="D76" s="244">
        <v>1</v>
      </c>
      <c r="E76" s="851">
        <v>100000</v>
      </c>
      <c r="F76" s="851">
        <v>100000</v>
      </c>
    </row>
    <row r="77" spans="1:6">
      <c r="A77" s="244">
        <v>75</v>
      </c>
      <c r="B77" s="528" t="s">
        <v>336</v>
      </c>
      <c r="C77" s="244" t="s">
        <v>323</v>
      </c>
      <c r="D77" s="244">
        <v>1</v>
      </c>
      <c r="E77" s="851">
        <v>165000</v>
      </c>
      <c r="F77" s="851">
        <v>165000</v>
      </c>
    </row>
    <row r="78" spans="1:6">
      <c r="A78" s="244">
        <v>76</v>
      </c>
      <c r="B78" s="528" t="s">
        <v>940</v>
      </c>
      <c r="C78" s="244" t="s">
        <v>323</v>
      </c>
      <c r="D78" s="244">
        <v>1</v>
      </c>
      <c r="E78" s="851">
        <v>2150000</v>
      </c>
      <c r="F78" s="851">
        <v>2150000</v>
      </c>
    </row>
    <row r="79" spans="1:6">
      <c r="A79" s="244">
        <v>77</v>
      </c>
      <c r="B79" s="528" t="s">
        <v>941</v>
      </c>
      <c r="C79" s="244" t="s">
        <v>323</v>
      </c>
      <c r="D79" s="244">
        <v>1</v>
      </c>
      <c r="E79" s="851">
        <v>2145000</v>
      </c>
      <c r="F79" s="851">
        <v>2145000</v>
      </c>
    </row>
    <row r="80" spans="1:6">
      <c r="A80" s="244">
        <v>78</v>
      </c>
      <c r="B80" s="528" t="s">
        <v>942</v>
      </c>
      <c r="C80" s="244" t="s">
        <v>323</v>
      </c>
      <c r="D80" s="244">
        <v>1</v>
      </c>
      <c r="E80" s="851">
        <v>290000</v>
      </c>
      <c r="F80" s="851">
        <v>290000</v>
      </c>
    </row>
    <row r="81" spans="1:6">
      <c r="A81" s="244">
        <v>79</v>
      </c>
      <c r="B81" s="528" t="s">
        <v>943</v>
      </c>
      <c r="C81" s="244" t="s">
        <v>323</v>
      </c>
      <c r="D81" s="244">
        <v>1</v>
      </c>
      <c r="E81" s="851">
        <v>1977000</v>
      </c>
      <c r="F81" s="851">
        <v>1977000</v>
      </c>
    </row>
    <row r="82" spans="1:6">
      <c r="A82" s="244">
        <v>80</v>
      </c>
      <c r="B82" s="528" t="s">
        <v>335</v>
      </c>
      <c r="C82" s="244" t="s">
        <v>323</v>
      </c>
      <c r="D82" s="244">
        <v>1</v>
      </c>
      <c r="E82" s="851">
        <v>2640000</v>
      </c>
      <c r="F82" s="851">
        <v>2640000</v>
      </c>
    </row>
    <row r="83" spans="1:6">
      <c r="A83" s="244">
        <v>81</v>
      </c>
      <c r="B83" s="528" t="s">
        <v>605</v>
      </c>
      <c r="C83" s="244" t="s">
        <v>323</v>
      </c>
      <c r="D83" s="244">
        <v>1</v>
      </c>
      <c r="E83" s="851">
        <v>2250000</v>
      </c>
      <c r="F83" s="851">
        <v>2250000</v>
      </c>
    </row>
    <row r="84" spans="1:6">
      <c r="A84" s="244">
        <v>82</v>
      </c>
      <c r="B84" s="528" t="s">
        <v>606</v>
      </c>
      <c r="C84" s="244" t="s">
        <v>323</v>
      </c>
      <c r="D84" s="244">
        <v>1</v>
      </c>
      <c r="E84" s="851">
        <v>220000</v>
      </c>
      <c r="F84" s="851">
        <v>220000</v>
      </c>
    </row>
    <row r="85" spans="1:6">
      <c r="A85" s="244">
        <v>83</v>
      </c>
      <c r="B85" s="528" t="s">
        <v>944</v>
      </c>
      <c r="C85" s="244" t="s">
        <v>323</v>
      </c>
      <c r="D85" s="244">
        <v>1</v>
      </c>
      <c r="E85" s="851">
        <v>275000</v>
      </c>
      <c r="F85" s="851">
        <v>275000</v>
      </c>
    </row>
    <row r="86" spans="1:6">
      <c r="A86" s="244">
        <v>84</v>
      </c>
      <c r="B86" s="528" t="s">
        <v>945</v>
      </c>
      <c r="C86" s="244" t="s">
        <v>323</v>
      </c>
      <c r="D86" s="244">
        <v>1</v>
      </c>
      <c r="E86" s="851">
        <v>27000</v>
      </c>
      <c r="F86" s="851">
        <v>27000</v>
      </c>
    </row>
    <row r="87" spans="1:6">
      <c r="A87" s="244">
        <v>85</v>
      </c>
      <c r="B87" s="528" t="s">
        <v>946</v>
      </c>
      <c r="C87" s="244" t="s">
        <v>752</v>
      </c>
      <c r="D87" s="244">
        <v>1</v>
      </c>
      <c r="E87" s="851">
        <v>83000</v>
      </c>
      <c r="F87" s="851">
        <v>83000</v>
      </c>
    </row>
    <row r="88" spans="1:6">
      <c r="A88" s="244">
        <v>86</v>
      </c>
      <c r="B88" s="528" t="s">
        <v>947</v>
      </c>
      <c r="C88" s="244" t="s">
        <v>333</v>
      </c>
      <c r="D88" s="244">
        <v>1</v>
      </c>
      <c r="E88" s="851">
        <v>145000</v>
      </c>
      <c r="F88" s="851">
        <v>145000</v>
      </c>
    </row>
    <row r="89" spans="1:6">
      <c r="A89" s="244">
        <v>87</v>
      </c>
      <c r="B89" s="528" t="s">
        <v>328</v>
      </c>
      <c r="C89" s="244" t="s">
        <v>323</v>
      </c>
      <c r="D89" s="244">
        <v>1</v>
      </c>
      <c r="E89" s="851">
        <v>100000</v>
      </c>
      <c r="F89" s="851">
        <v>100000</v>
      </c>
    </row>
    <row r="90" spans="1:6">
      <c r="A90" s="244">
        <v>88</v>
      </c>
      <c r="B90" s="528" t="s">
        <v>948</v>
      </c>
      <c r="C90" s="244" t="s">
        <v>323</v>
      </c>
      <c r="D90" s="244">
        <v>1</v>
      </c>
      <c r="E90" s="851">
        <v>300000</v>
      </c>
      <c r="F90" s="851">
        <v>300000</v>
      </c>
    </row>
    <row r="91" spans="1:6">
      <c r="A91" s="244">
        <v>89</v>
      </c>
      <c r="B91" s="528" t="s">
        <v>949</v>
      </c>
      <c r="C91" s="244" t="s">
        <v>323</v>
      </c>
      <c r="D91" s="244">
        <v>1</v>
      </c>
      <c r="E91" s="851">
        <v>37000</v>
      </c>
      <c r="F91" s="851">
        <v>37000</v>
      </c>
    </row>
    <row r="92" spans="1:6">
      <c r="A92" s="244">
        <v>90</v>
      </c>
      <c r="B92" s="528" t="s">
        <v>950</v>
      </c>
      <c r="C92" s="244" t="s">
        <v>323</v>
      </c>
      <c r="D92" s="244">
        <v>1</v>
      </c>
      <c r="E92" s="851">
        <v>185000</v>
      </c>
      <c r="F92" s="851">
        <v>185000</v>
      </c>
    </row>
    <row r="93" spans="1:6">
      <c r="A93" s="244">
        <v>91</v>
      </c>
      <c r="B93" s="528" t="s">
        <v>951</v>
      </c>
      <c r="C93" s="244" t="s">
        <v>323</v>
      </c>
      <c r="D93" s="244">
        <v>1</v>
      </c>
      <c r="E93" s="851">
        <v>500000</v>
      </c>
      <c r="F93" s="851">
        <v>500000</v>
      </c>
    </row>
    <row r="94" spans="1:6">
      <c r="A94" s="244">
        <v>92</v>
      </c>
      <c r="B94" s="528" t="s">
        <v>331</v>
      </c>
      <c r="C94" s="244" t="s">
        <v>323</v>
      </c>
      <c r="D94" s="244">
        <v>1</v>
      </c>
      <c r="E94" s="851">
        <v>46000</v>
      </c>
      <c r="F94" s="851">
        <v>46000</v>
      </c>
    </row>
    <row r="95" spans="1:6">
      <c r="A95" s="244">
        <v>93</v>
      </c>
      <c r="B95" s="528" t="s">
        <v>334</v>
      </c>
      <c r="C95" s="244" t="s">
        <v>323</v>
      </c>
      <c r="D95" s="244">
        <v>1</v>
      </c>
      <c r="E95" s="851">
        <v>11500</v>
      </c>
      <c r="F95" s="851">
        <v>11500</v>
      </c>
    </row>
    <row r="96" spans="1:6">
      <c r="A96" s="244">
        <v>94</v>
      </c>
      <c r="B96" s="528" t="s">
        <v>630</v>
      </c>
      <c r="C96" s="244" t="s">
        <v>323</v>
      </c>
      <c r="D96" s="244">
        <v>1</v>
      </c>
      <c r="E96" s="851">
        <v>690000</v>
      </c>
      <c r="F96" s="851">
        <v>690000</v>
      </c>
    </row>
    <row r="97" spans="1:6">
      <c r="A97" s="244">
        <v>95</v>
      </c>
      <c r="B97" s="528" t="s">
        <v>952</v>
      </c>
      <c r="C97" s="244" t="s">
        <v>323</v>
      </c>
      <c r="D97" s="244">
        <v>1</v>
      </c>
      <c r="E97" s="851">
        <v>200000</v>
      </c>
      <c r="F97" s="851">
        <v>200000</v>
      </c>
    </row>
    <row r="98" spans="1:6">
      <c r="A98" s="244">
        <v>96</v>
      </c>
      <c r="B98" s="528" t="s">
        <v>649</v>
      </c>
      <c r="C98" s="244" t="s">
        <v>323</v>
      </c>
      <c r="D98" s="244">
        <v>1</v>
      </c>
      <c r="E98" s="851">
        <v>19000</v>
      </c>
      <c r="F98" s="851">
        <v>19000</v>
      </c>
    </row>
    <row r="99" spans="1:6">
      <c r="A99" s="244">
        <v>97</v>
      </c>
      <c r="B99" s="528" t="s">
        <v>953</v>
      </c>
      <c r="C99" s="244" t="s">
        <v>323</v>
      </c>
      <c r="D99" s="244">
        <v>1</v>
      </c>
      <c r="E99" s="851">
        <v>2459200</v>
      </c>
      <c r="F99" s="851">
        <v>2459200</v>
      </c>
    </row>
    <row r="100" spans="1:6">
      <c r="A100" s="244">
        <v>98</v>
      </c>
      <c r="B100" s="528" t="s">
        <v>954</v>
      </c>
      <c r="C100" s="244" t="s">
        <v>337</v>
      </c>
      <c r="D100" s="244">
        <v>1</v>
      </c>
      <c r="E100" s="851">
        <v>295000</v>
      </c>
      <c r="F100" s="851">
        <v>295000</v>
      </c>
    </row>
    <row r="101" spans="1:6">
      <c r="A101" s="244">
        <v>99</v>
      </c>
      <c r="B101" s="528" t="s">
        <v>955</v>
      </c>
      <c r="C101" s="244" t="s">
        <v>323</v>
      </c>
      <c r="D101" s="244">
        <v>1</v>
      </c>
      <c r="E101" s="851">
        <v>2890000</v>
      </c>
      <c r="F101" s="851">
        <v>2890000</v>
      </c>
    </row>
    <row r="102" spans="1:6">
      <c r="A102" s="167" t="s">
        <v>105</v>
      </c>
      <c r="B102" s="172" t="s">
        <v>956</v>
      </c>
      <c r="C102" s="244"/>
      <c r="D102" s="167"/>
      <c r="E102" s="851">
        <v>0</v>
      </c>
      <c r="F102" s="851">
        <v>0</v>
      </c>
    </row>
    <row r="103" spans="1:6">
      <c r="A103" s="244">
        <v>1</v>
      </c>
      <c r="B103" s="528" t="s">
        <v>957</v>
      </c>
      <c r="C103" s="244" t="s">
        <v>143</v>
      </c>
      <c r="D103" s="244">
        <v>1</v>
      </c>
      <c r="E103" s="851">
        <v>400000</v>
      </c>
      <c r="F103" s="851">
        <v>400000</v>
      </c>
    </row>
    <row r="104" spans="1:6">
      <c r="A104" s="244">
        <v>2</v>
      </c>
      <c r="B104" s="528" t="s">
        <v>639</v>
      </c>
      <c r="C104" s="244" t="s">
        <v>638</v>
      </c>
      <c r="D104" s="244">
        <v>1</v>
      </c>
      <c r="E104" s="851">
        <v>10000</v>
      </c>
      <c r="F104" s="851">
        <v>10000</v>
      </c>
    </row>
    <row r="105" spans="1:6">
      <c r="A105" s="244">
        <v>3</v>
      </c>
      <c r="B105" s="528" t="s">
        <v>647</v>
      </c>
      <c r="C105" s="244" t="s">
        <v>638</v>
      </c>
      <c r="D105" s="244">
        <v>1</v>
      </c>
      <c r="E105" s="851">
        <v>10000</v>
      </c>
      <c r="F105" s="851">
        <v>10000</v>
      </c>
    </row>
    <row r="106" spans="1:6">
      <c r="A106" s="244">
        <v>4</v>
      </c>
      <c r="B106" s="528" t="s">
        <v>958</v>
      </c>
      <c r="C106" s="244" t="s">
        <v>143</v>
      </c>
      <c r="D106" s="244">
        <v>1</v>
      </c>
      <c r="E106" s="851">
        <v>1000</v>
      </c>
      <c r="F106" s="851">
        <v>1000</v>
      </c>
    </row>
    <row r="107" spans="1:6" ht="18.5">
      <c r="A107" s="244">
        <v>5</v>
      </c>
      <c r="B107" s="528" t="s">
        <v>959</v>
      </c>
      <c r="C107" s="244" t="s">
        <v>143</v>
      </c>
      <c r="D107" s="244">
        <v>1</v>
      </c>
      <c r="E107" s="851">
        <v>10000</v>
      </c>
      <c r="F107" s="851">
        <v>10000</v>
      </c>
    </row>
    <row r="108" spans="1:6">
      <c r="A108" s="244">
        <v>6</v>
      </c>
      <c r="B108" s="528" t="s">
        <v>960</v>
      </c>
      <c r="C108" s="244" t="s">
        <v>337</v>
      </c>
      <c r="D108" s="244">
        <v>1</v>
      </c>
      <c r="E108" s="851">
        <v>1000</v>
      </c>
      <c r="F108" s="851">
        <v>1000</v>
      </c>
    </row>
    <row r="109" spans="1:6">
      <c r="A109" s="244">
        <v>7</v>
      </c>
      <c r="B109" s="528" t="s">
        <v>961</v>
      </c>
      <c r="C109" s="244" t="s">
        <v>337</v>
      </c>
      <c r="D109" s="244">
        <v>1</v>
      </c>
      <c r="E109" s="851">
        <v>20000</v>
      </c>
      <c r="F109" s="851">
        <v>20000</v>
      </c>
    </row>
    <row r="110" spans="1:6">
      <c r="A110" s="244">
        <v>8</v>
      </c>
      <c r="B110" s="528" t="s">
        <v>962</v>
      </c>
      <c r="C110" s="244" t="s">
        <v>337</v>
      </c>
      <c r="D110" s="244">
        <v>1</v>
      </c>
      <c r="E110" s="851">
        <v>20000</v>
      </c>
      <c r="F110" s="851">
        <v>20000</v>
      </c>
    </row>
    <row r="111" spans="1:6">
      <c r="A111" s="244">
        <v>9</v>
      </c>
      <c r="B111" s="528" t="s">
        <v>352</v>
      </c>
      <c r="C111" s="244" t="s">
        <v>353</v>
      </c>
      <c r="D111" s="244">
        <v>1</v>
      </c>
      <c r="E111" s="851">
        <v>70000</v>
      </c>
      <c r="F111" s="851">
        <v>70000</v>
      </c>
    </row>
    <row r="112" spans="1:6">
      <c r="A112" s="244">
        <v>10</v>
      </c>
      <c r="B112" s="528" t="s">
        <v>354</v>
      </c>
      <c r="C112" s="244" t="s">
        <v>353</v>
      </c>
      <c r="D112" s="244">
        <v>1</v>
      </c>
      <c r="E112" s="851">
        <v>140000</v>
      </c>
      <c r="F112" s="851">
        <v>140000</v>
      </c>
    </row>
    <row r="113" spans="1:6">
      <c r="A113" s="244">
        <v>11</v>
      </c>
      <c r="B113" s="528" t="s">
        <v>963</v>
      </c>
      <c r="C113" s="244" t="s">
        <v>964</v>
      </c>
      <c r="D113" s="244">
        <v>1</v>
      </c>
      <c r="E113" s="851">
        <v>11000</v>
      </c>
      <c r="F113" s="851">
        <v>11000</v>
      </c>
    </row>
    <row r="114" spans="1:6">
      <c r="A114" s="244">
        <v>12</v>
      </c>
      <c r="B114" s="528" t="s">
        <v>965</v>
      </c>
      <c r="C114" s="244" t="s">
        <v>143</v>
      </c>
      <c r="D114" s="244">
        <v>1</v>
      </c>
      <c r="E114" s="851">
        <v>1650</v>
      </c>
      <c r="F114" s="851">
        <v>1650</v>
      </c>
    </row>
    <row r="115" spans="1:6">
      <c r="A115" s="244">
        <v>13</v>
      </c>
      <c r="B115" s="528" t="s">
        <v>966</v>
      </c>
      <c r="C115" s="244" t="s">
        <v>143</v>
      </c>
      <c r="D115" s="244">
        <v>1</v>
      </c>
      <c r="E115" s="851">
        <v>1000</v>
      </c>
      <c r="F115" s="851">
        <v>1000</v>
      </c>
    </row>
    <row r="116" spans="1:6">
      <c r="A116" s="244">
        <v>14</v>
      </c>
      <c r="B116" s="528" t="s">
        <v>967</v>
      </c>
      <c r="C116" s="244" t="s">
        <v>143</v>
      </c>
      <c r="D116" s="244">
        <v>1</v>
      </c>
      <c r="E116" s="851">
        <v>1500</v>
      </c>
      <c r="F116" s="851">
        <v>1500</v>
      </c>
    </row>
    <row r="117" spans="1:6">
      <c r="A117" s="244">
        <v>15</v>
      </c>
      <c r="B117" s="528" t="s">
        <v>640</v>
      </c>
      <c r="C117" s="244" t="s">
        <v>641</v>
      </c>
      <c r="D117" s="244">
        <v>1</v>
      </c>
      <c r="E117" s="851">
        <v>225000</v>
      </c>
      <c r="F117" s="851">
        <v>225000</v>
      </c>
    </row>
    <row r="118" spans="1:6">
      <c r="A118" s="244">
        <v>16</v>
      </c>
      <c r="B118" s="528" t="s">
        <v>968</v>
      </c>
      <c r="C118" s="244" t="s">
        <v>752</v>
      </c>
      <c r="D118" s="244">
        <v>1</v>
      </c>
      <c r="E118" s="851">
        <v>8500</v>
      </c>
      <c r="F118" s="851">
        <v>8500</v>
      </c>
    </row>
    <row r="119" spans="1:6">
      <c r="A119" s="244">
        <v>17</v>
      </c>
      <c r="B119" s="528" t="s">
        <v>969</v>
      </c>
      <c r="C119" s="244" t="s">
        <v>752</v>
      </c>
      <c r="D119" s="244">
        <v>1</v>
      </c>
      <c r="E119" s="851">
        <v>8500</v>
      </c>
      <c r="F119" s="851">
        <v>8500</v>
      </c>
    </row>
    <row r="120" spans="1:6">
      <c r="A120" s="244">
        <v>18</v>
      </c>
      <c r="B120" s="528" t="s">
        <v>970</v>
      </c>
      <c r="C120" s="244" t="s">
        <v>752</v>
      </c>
      <c r="D120" s="244">
        <v>1</v>
      </c>
      <c r="E120" s="851">
        <v>8500</v>
      </c>
      <c r="F120" s="851">
        <v>8500</v>
      </c>
    </row>
    <row r="121" spans="1:6">
      <c r="A121" s="244">
        <v>19</v>
      </c>
      <c r="B121" s="528" t="s">
        <v>971</v>
      </c>
      <c r="C121" s="244" t="s">
        <v>752</v>
      </c>
      <c r="D121" s="244">
        <v>1</v>
      </c>
      <c r="E121" s="851">
        <v>8500</v>
      </c>
      <c r="F121" s="851">
        <v>8500</v>
      </c>
    </row>
    <row r="122" spans="1:6">
      <c r="A122" s="244">
        <v>20</v>
      </c>
      <c r="B122" s="528" t="s">
        <v>653</v>
      </c>
      <c r="C122" s="244" t="s">
        <v>752</v>
      </c>
      <c r="D122" s="244">
        <v>1</v>
      </c>
      <c r="E122" s="851">
        <v>10000</v>
      </c>
      <c r="F122" s="851">
        <v>10000</v>
      </c>
    </row>
    <row r="123" spans="1:6">
      <c r="A123" s="244">
        <v>21</v>
      </c>
      <c r="B123" s="528" t="s">
        <v>972</v>
      </c>
      <c r="C123" s="244" t="s">
        <v>752</v>
      </c>
      <c r="D123" s="244">
        <v>1</v>
      </c>
      <c r="E123" s="851">
        <v>10000</v>
      </c>
      <c r="F123" s="851">
        <v>10000</v>
      </c>
    </row>
    <row r="124" spans="1:6">
      <c r="A124" s="244">
        <v>22</v>
      </c>
      <c r="B124" s="528" t="s">
        <v>973</v>
      </c>
      <c r="C124" s="244" t="s">
        <v>752</v>
      </c>
      <c r="D124" s="244">
        <v>1</v>
      </c>
      <c r="E124" s="851">
        <v>8500</v>
      </c>
      <c r="F124" s="851">
        <v>8500</v>
      </c>
    </row>
    <row r="125" spans="1:6">
      <c r="A125" s="244">
        <v>23</v>
      </c>
      <c r="B125" s="528" t="s">
        <v>974</v>
      </c>
      <c r="C125" s="244" t="s">
        <v>752</v>
      </c>
      <c r="D125" s="244">
        <v>1</v>
      </c>
      <c r="E125" s="851">
        <v>8500</v>
      </c>
      <c r="F125" s="851">
        <v>8500</v>
      </c>
    </row>
    <row r="126" spans="1:6">
      <c r="A126" s="244">
        <v>24</v>
      </c>
      <c r="B126" s="528" t="s">
        <v>642</v>
      </c>
      <c r="C126" s="244" t="s">
        <v>641</v>
      </c>
      <c r="D126" s="244">
        <v>1</v>
      </c>
      <c r="E126" s="851">
        <v>1650</v>
      </c>
      <c r="F126" s="851">
        <v>1650</v>
      </c>
    </row>
    <row r="127" spans="1:6" s="852" customFormat="1" ht="18.5">
      <c r="A127" s="244">
        <v>25</v>
      </c>
      <c r="B127" s="528" t="s">
        <v>643</v>
      </c>
      <c r="C127" s="244" t="s">
        <v>975</v>
      </c>
      <c r="D127" s="244">
        <v>1</v>
      </c>
      <c r="E127" s="851">
        <v>317262</v>
      </c>
      <c r="F127" s="851">
        <v>317262</v>
      </c>
    </row>
    <row r="128" spans="1:6" s="852" customFormat="1" ht="18.5">
      <c r="A128" s="244">
        <v>26</v>
      </c>
      <c r="B128" s="528" t="s">
        <v>644</v>
      </c>
      <c r="C128" s="244" t="s">
        <v>975</v>
      </c>
      <c r="D128" s="244">
        <v>1</v>
      </c>
      <c r="E128" s="851">
        <v>240741</v>
      </c>
      <c r="F128" s="851">
        <v>240741</v>
      </c>
    </row>
    <row r="129" spans="1:6">
      <c r="A129" s="244">
        <v>27</v>
      </c>
      <c r="B129" s="528" t="s">
        <v>976</v>
      </c>
      <c r="C129" s="244" t="s">
        <v>323</v>
      </c>
      <c r="D129" s="244">
        <v>1</v>
      </c>
      <c r="E129" s="851">
        <v>4000</v>
      </c>
      <c r="F129" s="851">
        <v>4000</v>
      </c>
    </row>
    <row r="130" spans="1:6" ht="18.5">
      <c r="A130" s="244">
        <v>28</v>
      </c>
      <c r="B130" s="528" t="s">
        <v>977</v>
      </c>
      <c r="C130" s="244" t="s">
        <v>975</v>
      </c>
      <c r="D130" s="244">
        <v>1</v>
      </c>
      <c r="E130" s="851">
        <v>5455000</v>
      </c>
      <c r="F130" s="851">
        <v>5455000</v>
      </c>
    </row>
    <row r="131" spans="1:6">
      <c r="A131" s="244">
        <v>29</v>
      </c>
      <c r="B131" s="528" t="s">
        <v>645</v>
      </c>
      <c r="C131" s="244" t="s">
        <v>641</v>
      </c>
      <c r="D131" s="244">
        <v>1</v>
      </c>
      <c r="E131" s="851">
        <v>24000</v>
      </c>
      <c r="F131" s="851">
        <v>24000</v>
      </c>
    </row>
    <row r="132" spans="1:6">
      <c r="A132" s="244">
        <v>30</v>
      </c>
      <c r="B132" s="528" t="s">
        <v>978</v>
      </c>
      <c r="C132" s="244" t="s">
        <v>323</v>
      </c>
      <c r="D132" s="244">
        <v>1</v>
      </c>
      <c r="E132" s="851">
        <v>500000</v>
      </c>
      <c r="F132" s="851">
        <v>500000</v>
      </c>
    </row>
    <row r="133" spans="1:6">
      <c r="A133" s="244">
        <v>31</v>
      </c>
      <c r="B133" s="528" t="s">
        <v>979</v>
      </c>
      <c r="C133" s="244" t="s">
        <v>641</v>
      </c>
      <c r="D133" s="244">
        <v>1</v>
      </c>
      <c r="E133" s="851">
        <v>14500</v>
      </c>
      <c r="F133" s="851">
        <v>14500</v>
      </c>
    </row>
    <row r="134" spans="1:6">
      <c r="A134" s="244">
        <v>32</v>
      </c>
      <c r="B134" s="528" t="s">
        <v>980</v>
      </c>
      <c r="C134" s="244" t="s">
        <v>981</v>
      </c>
      <c r="D134" s="244">
        <v>1</v>
      </c>
      <c r="E134" s="851">
        <v>24820</v>
      </c>
      <c r="F134" s="851">
        <v>24820</v>
      </c>
    </row>
    <row r="135" spans="1:6">
      <c r="A135" s="244">
        <v>33</v>
      </c>
      <c r="B135" s="528" t="s">
        <v>982</v>
      </c>
      <c r="C135" s="244" t="s">
        <v>981</v>
      </c>
      <c r="D135" s="244">
        <v>1</v>
      </c>
      <c r="E135" s="851">
        <v>79000</v>
      </c>
      <c r="F135" s="851">
        <v>79000</v>
      </c>
    </row>
    <row r="136" spans="1:6">
      <c r="A136" s="244">
        <v>34</v>
      </c>
      <c r="B136" s="528" t="s">
        <v>983</v>
      </c>
      <c r="C136" s="244" t="s">
        <v>984</v>
      </c>
      <c r="D136" s="244">
        <v>1</v>
      </c>
      <c r="E136" s="851">
        <v>50000</v>
      </c>
      <c r="F136" s="851">
        <v>50000</v>
      </c>
    </row>
    <row r="137" spans="1:6">
      <c r="A137" s="244">
        <v>35</v>
      </c>
      <c r="B137" s="528" t="s">
        <v>985</v>
      </c>
      <c r="C137" s="244" t="s">
        <v>333</v>
      </c>
      <c r="D137" s="244">
        <v>1</v>
      </c>
      <c r="E137" s="851">
        <v>87000</v>
      </c>
      <c r="F137" s="851">
        <v>87000</v>
      </c>
    </row>
    <row r="138" spans="1:6">
      <c r="A138" s="244">
        <v>36</v>
      </c>
      <c r="B138" s="528" t="s">
        <v>986</v>
      </c>
      <c r="C138" s="244" t="s">
        <v>143</v>
      </c>
      <c r="D138" s="244">
        <v>1</v>
      </c>
      <c r="E138" s="851">
        <v>1000</v>
      </c>
      <c r="F138" s="851">
        <v>1000</v>
      </c>
    </row>
    <row r="139" spans="1:6">
      <c r="A139" s="244">
        <v>37</v>
      </c>
      <c r="B139" s="528" t="s">
        <v>987</v>
      </c>
      <c r="C139" s="244" t="s">
        <v>143</v>
      </c>
      <c r="D139" s="244">
        <v>1</v>
      </c>
      <c r="E139" s="851">
        <v>1000</v>
      </c>
      <c r="F139" s="851">
        <v>1000</v>
      </c>
    </row>
    <row r="140" spans="1:6">
      <c r="A140" s="244">
        <v>38</v>
      </c>
      <c r="B140" s="528" t="s">
        <v>646</v>
      </c>
      <c r="C140" s="244" t="s">
        <v>323</v>
      </c>
      <c r="D140" s="244">
        <v>1</v>
      </c>
      <c r="E140" s="851">
        <v>1000</v>
      </c>
      <c r="F140" s="851">
        <v>1000</v>
      </c>
    </row>
    <row r="141" spans="1:6">
      <c r="A141" s="244">
        <v>39</v>
      </c>
      <c r="B141" s="528" t="s">
        <v>988</v>
      </c>
      <c r="C141" s="244" t="s">
        <v>143</v>
      </c>
      <c r="D141" s="244">
        <v>1</v>
      </c>
      <c r="E141" s="851">
        <v>1000</v>
      </c>
      <c r="F141" s="851">
        <v>1000</v>
      </c>
    </row>
    <row r="142" spans="1:6">
      <c r="A142" s="244">
        <v>40</v>
      </c>
      <c r="B142" s="528" t="s">
        <v>989</v>
      </c>
      <c r="C142" s="244" t="s">
        <v>143</v>
      </c>
      <c r="D142" s="244">
        <v>1</v>
      </c>
      <c r="E142" s="851">
        <v>1000</v>
      </c>
      <c r="F142" s="851">
        <v>1000</v>
      </c>
    </row>
    <row r="143" spans="1:6">
      <c r="A143" s="244">
        <v>41</v>
      </c>
      <c r="B143" s="528" t="s">
        <v>360</v>
      </c>
      <c r="C143" s="244" t="s">
        <v>361</v>
      </c>
      <c r="D143" s="244">
        <v>1</v>
      </c>
      <c r="E143" s="851">
        <v>10000</v>
      </c>
      <c r="F143" s="851">
        <v>10000</v>
      </c>
    </row>
    <row r="144" spans="1:6">
      <c r="A144" s="244">
        <v>42</v>
      </c>
      <c r="B144" s="528" t="s">
        <v>648</v>
      </c>
      <c r="C144" s="244" t="s">
        <v>361</v>
      </c>
      <c r="D144" s="244">
        <v>1</v>
      </c>
      <c r="E144" s="851">
        <v>10000</v>
      </c>
      <c r="F144" s="851">
        <v>10000</v>
      </c>
    </row>
    <row r="145" spans="1:6">
      <c r="A145" s="244">
        <v>43</v>
      </c>
      <c r="B145" s="528" t="s">
        <v>990</v>
      </c>
      <c r="C145" s="244" t="s">
        <v>361</v>
      </c>
      <c r="D145" s="244">
        <v>1</v>
      </c>
      <c r="E145" s="851">
        <v>10000</v>
      </c>
      <c r="F145" s="851">
        <v>10000</v>
      </c>
    </row>
    <row r="146" spans="1:6">
      <c r="A146" s="244">
        <v>44</v>
      </c>
      <c r="B146" s="528" t="s">
        <v>991</v>
      </c>
      <c r="C146" s="244" t="s">
        <v>143</v>
      </c>
      <c r="D146" s="244">
        <v>1</v>
      </c>
      <c r="E146" s="851">
        <v>12000</v>
      </c>
      <c r="F146" s="851">
        <v>12000</v>
      </c>
    </row>
    <row r="147" spans="1:6">
      <c r="A147" s="244">
        <v>45</v>
      </c>
      <c r="B147" s="528" t="s">
        <v>992</v>
      </c>
      <c r="C147" s="244" t="s">
        <v>347</v>
      </c>
      <c r="D147" s="244">
        <v>1</v>
      </c>
      <c r="E147" s="851">
        <v>1600000</v>
      </c>
      <c r="F147" s="851">
        <v>1600000</v>
      </c>
    </row>
    <row r="148" spans="1:6">
      <c r="A148" s="244">
        <v>46</v>
      </c>
      <c r="B148" s="528" t="s">
        <v>993</v>
      </c>
      <c r="C148" s="244" t="s">
        <v>347</v>
      </c>
      <c r="D148" s="244">
        <v>1</v>
      </c>
      <c r="E148" s="851">
        <v>1600000</v>
      </c>
      <c r="F148" s="851">
        <v>1600000</v>
      </c>
    </row>
    <row r="149" spans="1:6">
      <c r="A149" s="244">
        <v>47</v>
      </c>
      <c r="B149" s="528" t="s">
        <v>994</v>
      </c>
      <c r="C149" s="244" t="s">
        <v>347</v>
      </c>
      <c r="D149" s="244">
        <v>1</v>
      </c>
      <c r="E149" s="851">
        <v>2900000</v>
      </c>
      <c r="F149" s="851">
        <v>2900000</v>
      </c>
    </row>
    <row r="150" spans="1:6">
      <c r="A150" s="244">
        <v>48</v>
      </c>
      <c r="B150" s="528" t="s">
        <v>651</v>
      </c>
      <c r="C150" s="244" t="s">
        <v>347</v>
      </c>
      <c r="D150" s="244">
        <v>1</v>
      </c>
      <c r="E150" s="851">
        <v>1420000</v>
      </c>
      <c r="F150" s="851">
        <v>1420000</v>
      </c>
    </row>
    <row r="151" spans="1:6">
      <c r="A151" s="244">
        <v>49</v>
      </c>
      <c r="B151" s="528" t="s">
        <v>650</v>
      </c>
      <c r="C151" s="244" t="s">
        <v>347</v>
      </c>
      <c r="D151" s="244">
        <v>1</v>
      </c>
      <c r="E151" s="851">
        <v>990000</v>
      </c>
      <c r="F151" s="851">
        <v>990000</v>
      </c>
    </row>
    <row r="152" spans="1:6">
      <c r="A152" s="244">
        <v>50</v>
      </c>
      <c r="B152" s="528" t="s">
        <v>995</v>
      </c>
      <c r="C152" s="244" t="s">
        <v>347</v>
      </c>
      <c r="D152" s="244">
        <v>1</v>
      </c>
      <c r="E152" s="851">
        <v>620000</v>
      </c>
      <c r="F152" s="851">
        <v>620000</v>
      </c>
    </row>
    <row r="153" spans="1:6">
      <c r="A153" s="244">
        <v>51</v>
      </c>
      <c r="B153" s="528" t="s">
        <v>996</v>
      </c>
      <c r="C153" s="244" t="s">
        <v>997</v>
      </c>
      <c r="D153" s="244">
        <v>1</v>
      </c>
      <c r="E153" s="851">
        <v>68000</v>
      </c>
      <c r="F153" s="851">
        <v>68000</v>
      </c>
    </row>
    <row r="154" spans="1:6">
      <c r="A154" s="244">
        <v>52</v>
      </c>
      <c r="B154" s="528" t="s">
        <v>998</v>
      </c>
      <c r="C154" s="244" t="s">
        <v>138</v>
      </c>
      <c r="D154" s="244">
        <v>1</v>
      </c>
      <c r="E154" s="851">
        <v>120000</v>
      </c>
      <c r="F154" s="851">
        <v>120000</v>
      </c>
    </row>
    <row r="155" spans="1:6">
      <c r="A155" s="244">
        <v>53</v>
      </c>
      <c r="B155" s="528" t="s">
        <v>999</v>
      </c>
      <c r="C155" s="244" t="s">
        <v>138</v>
      </c>
      <c r="D155" s="244">
        <v>1</v>
      </c>
      <c r="E155" s="851">
        <v>120000</v>
      </c>
      <c r="F155" s="851">
        <v>120000</v>
      </c>
    </row>
    <row r="156" spans="1:6">
      <c r="A156" s="244">
        <v>54</v>
      </c>
      <c r="B156" s="528" t="s">
        <v>1000</v>
      </c>
      <c r="C156" s="244" t="s">
        <v>337</v>
      </c>
      <c r="D156" s="244">
        <v>1</v>
      </c>
      <c r="E156" s="851">
        <v>160000</v>
      </c>
      <c r="F156" s="851">
        <v>160000</v>
      </c>
    </row>
    <row r="157" spans="1:6">
      <c r="A157" s="244">
        <v>55</v>
      </c>
      <c r="B157" s="528" t="s">
        <v>1001</v>
      </c>
      <c r="C157" s="244" t="s">
        <v>337</v>
      </c>
      <c r="D157" s="244">
        <v>1</v>
      </c>
      <c r="E157" s="851">
        <v>160000</v>
      </c>
      <c r="F157" s="851">
        <v>160000</v>
      </c>
    </row>
    <row r="158" spans="1:6" ht="31">
      <c r="A158" s="244">
        <v>56</v>
      </c>
      <c r="B158" s="528" t="s">
        <v>1002</v>
      </c>
      <c r="C158" s="244" t="s">
        <v>143</v>
      </c>
      <c r="D158" s="244">
        <v>1</v>
      </c>
      <c r="E158" s="851">
        <v>30000</v>
      </c>
      <c r="F158" s="851">
        <v>30000</v>
      </c>
    </row>
    <row r="159" spans="1:6">
      <c r="A159" s="244">
        <v>57</v>
      </c>
      <c r="B159" s="528" t="s">
        <v>1003</v>
      </c>
      <c r="C159" s="244" t="s">
        <v>323</v>
      </c>
      <c r="D159" s="244">
        <v>1</v>
      </c>
      <c r="E159" s="851">
        <v>7500</v>
      </c>
      <c r="F159" s="851">
        <v>7500</v>
      </c>
    </row>
    <row r="160" spans="1:6">
      <c r="A160" s="244">
        <v>58</v>
      </c>
      <c r="B160" s="528" t="s">
        <v>1004</v>
      </c>
      <c r="C160" s="244" t="s">
        <v>337</v>
      </c>
      <c r="D160" s="244">
        <v>1</v>
      </c>
      <c r="E160" s="851">
        <v>150000</v>
      </c>
      <c r="F160" s="851">
        <v>150000</v>
      </c>
    </row>
    <row r="161" spans="1:6">
      <c r="A161" s="244">
        <v>59</v>
      </c>
      <c r="B161" s="528" t="s">
        <v>992</v>
      </c>
      <c r="C161" s="244" t="s">
        <v>347</v>
      </c>
      <c r="D161" s="244">
        <v>1</v>
      </c>
      <c r="E161" s="851">
        <v>1600000</v>
      </c>
      <c r="F161" s="851">
        <v>1600000</v>
      </c>
    </row>
    <row r="162" spans="1:6">
      <c r="A162" s="244">
        <v>60</v>
      </c>
      <c r="B162" s="528" t="s">
        <v>115</v>
      </c>
      <c r="C162" s="244" t="s">
        <v>347</v>
      </c>
      <c r="D162" s="244">
        <v>1</v>
      </c>
      <c r="E162" s="851">
        <v>1600000</v>
      </c>
      <c r="F162" s="851">
        <v>1600000</v>
      </c>
    </row>
    <row r="163" spans="1:6">
      <c r="A163" s="244">
        <v>61</v>
      </c>
      <c r="B163" s="528" t="s">
        <v>1005</v>
      </c>
      <c r="C163" s="244" t="s">
        <v>347</v>
      </c>
      <c r="D163" s="244">
        <v>1</v>
      </c>
      <c r="E163" s="851">
        <v>605000</v>
      </c>
      <c r="F163" s="851">
        <v>605000</v>
      </c>
    </row>
    <row r="164" spans="1:6">
      <c r="A164" s="244">
        <v>62</v>
      </c>
      <c r="B164" s="528" t="s">
        <v>1006</v>
      </c>
      <c r="C164" s="244" t="s">
        <v>347</v>
      </c>
      <c r="D164" s="244">
        <v>1</v>
      </c>
      <c r="E164" s="851">
        <v>2200000</v>
      </c>
      <c r="F164" s="851">
        <v>2200000</v>
      </c>
    </row>
    <row r="165" spans="1:6">
      <c r="A165" s="244">
        <v>63</v>
      </c>
      <c r="B165" s="528" t="s">
        <v>1007</v>
      </c>
      <c r="C165" s="244" t="s">
        <v>752</v>
      </c>
      <c r="D165" s="244">
        <v>1</v>
      </c>
      <c r="E165" s="851">
        <v>28000</v>
      </c>
      <c r="F165" s="851">
        <v>28000</v>
      </c>
    </row>
    <row r="166" spans="1:6">
      <c r="A166" s="244">
        <v>64</v>
      </c>
      <c r="B166" s="528" t="s">
        <v>1008</v>
      </c>
      <c r="C166" s="244" t="s">
        <v>981</v>
      </c>
      <c r="D166" s="244">
        <v>1</v>
      </c>
      <c r="E166" s="851">
        <v>51000</v>
      </c>
      <c r="F166" s="851">
        <v>51000</v>
      </c>
    </row>
    <row r="167" spans="1:6">
      <c r="A167" s="244">
        <v>65</v>
      </c>
      <c r="B167" s="528" t="s">
        <v>1009</v>
      </c>
      <c r="C167" s="244" t="s">
        <v>323</v>
      </c>
      <c r="D167" s="244">
        <v>1</v>
      </c>
      <c r="E167" s="851">
        <v>25000</v>
      </c>
      <c r="F167" s="851">
        <v>25000</v>
      </c>
    </row>
    <row r="168" spans="1:6">
      <c r="A168" s="244">
        <v>66</v>
      </c>
      <c r="B168" s="528" t="s">
        <v>1010</v>
      </c>
      <c r="C168" s="244" t="s">
        <v>323</v>
      </c>
      <c r="D168" s="244">
        <v>1</v>
      </c>
      <c r="E168" s="851">
        <v>12000</v>
      </c>
      <c r="F168" s="851">
        <v>12000</v>
      </c>
    </row>
    <row r="169" spans="1:6">
      <c r="A169" s="244">
        <v>67</v>
      </c>
      <c r="B169" s="528" t="s">
        <v>1011</v>
      </c>
      <c r="C169" s="244" t="s">
        <v>143</v>
      </c>
      <c r="D169" s="244">
        <v>1</v>
      </c>
      <c r="E169" s="851">
        <v>400000</v>
      </c>
      <c r="F169" s="851">
        <v>400000</v>
      </c>
    </row>
    <row r="170" spans="1:6">
      <c r="A170" s="244">
        <v>68</v>
      </c>
      <c r="B170" s="528" t="s">
        <v>1012</v>
      </c>
      <c r="C170" s="244" t="s">
        <v>981</v>
      </c>
      <c r="D170" s="244">
        <v>1</v>
      </c>
      <c r="E170" s="851">
        <v>45000</v>
      </c>
      <c r="F170" s="851">
        <v>45000</v>
      </c>
    </row>
    <row r="171" spans="1:6">
      <c r="A171" s="244">
        <v>69</v>
      </c>
      <c r="B171" s="528" t="s">
        <v>1013</v>
      </c>
      <c r="C171" s="244" t="s">
        <v>323</v>
      </c>
      <c r="D171" s="244">
        <v>1</v>
      </c>
      <c r="E171" s="851">
        <v>550000</v>
      </c>
      <c r="F171" s="851">
        <v>550000</v>
      </c>
    </row>
    <row r="172" spans="1:6">
      <c r="A172" s="244">
        <v>70</v>
      </c>
      <c r="B172" s="528" t="s">
        <v>1014</v>
      </c>
      <c r="C172" s="244" t="s">
        <v>323</v>
      </c>
      <c r="D172" s="244">
        <v>1</v>
      </c>
      <c r="E172" s="851">
        <v>35000</v>
      </c>
      <c r="F172" s="851">
        <v>35000</v>
      </c>
    </row>
    <row r="173" spans="1:6">
      <c r="A173" s="244">
        <v>71</v>
      </c>
      <c r="B173" s="528" t="s">
        <v>346</v>
      </c>
      <c r="C173" s="244" t="s">
        <v>347</v>
      </c>
      <c r="D173" s="244">
        <v>1</v>
      </c>
      <c r="E173" s="851">
        <v>12000</v>
      </c>
      <c r="F173" s="851">
        <v>12000</v>
      </c>
    </row>
    <row r="174" spans="1:6">
      <c r="A174" s="244">
        <v>72</v>
      </c>
      <c r="B174" s="528" t="s">
        <v>348</v>
      </c>
      <c r="C174" s="244" t="s">
        <v>347</v>
      </c>
      <c r="D174" s="244">
        <v>1</v>
      </c>
      <c r="E174" s="851">
        <v>3500</v>
      </c>
      <c r="F174" s="851">
        <v>3500</v>
      </c>
    </row>
    <row r="175" spans="1:6">
      <c r="A175" s="244">
        <v>73</v>
      </c>
      <c r="B175" s="528" t="s">
        <v>116</v>
      </c>
      <c r="C175" s="244" t="s">
        <v>323</v>
      </c>
      <c r="D175" s="244">
        <v>1</v>
      </c>
      <c r="E175" s="851">
        <v>40000</v>
      </c>
      <c r="F175" s="851">
        <v>40000</v>
      </c>
    </row>
    <row r="176" spans="1:6">
      <c r="A176" s="244">
        <v>74</v>
      </c>
      <c r="B176" s="528" t="s">
        <v>749</v>
      </c>
      <c r="C176" s="244" t="s">
        <v>143</v>
      </c>
      <c r="D176" s="244">
        <v>1</v>
      </c>
      <c r="E176" s="851">
        <v>1000</v>
      </c>
      <c r="F176" s="851">
        <v>1000</v>
      </c>
    </row>
    <row r="177" spans="1:6">
      <c r="A177" s="244">
        <v>75</v>
      </c>
      <c r="B177" s="528" t="s">
        <v>1015</v>
      </c>
      <c r="C177" s="244" t="s">
        <v>143</v>
      </c>
      <c r="D177" s="244">
        <v>1</v>
      </c>
      <c r="E177" s="851">
        <v>1000</v>
      </c>
      <c r="F177" s="851">
        <v>1000</v>
      </c>
    </row>
    <row r="178" spans="1:6">
      <c r="A178" s="244">
        <v>76</v>
      </c>
      <c r="B178" s="528" t="s">
        <v>1016</v>
      </c>
      <c r="C178" s="244" t="s">
        <v>143</v>
      </c>
      <c r="D178" s="244">
        <v>1</v>
      </c>
      <c r="E178" s="851">
        <v>1000</v>
      </c>
      <c r="F178" s="851">
        <v>1000</v>
      </c>
    </row>
    <row r="179" spans="1:6">
      <c r="A179" s="244">
        <v>77</v>
      </c>
      <c r="B179" s="528" t="s">
        <v>1017</v>
      </c>
      <c r="C179" s="244" t="s">
        <v>143</v>
      </c>
      <c r="D179" s="244">
        <v>1</v>
      </c>
      <c r="E179" s="851">
        <v>1000</v>
      </c>
      <c r="F179" s="851">
        <v>1000</v>
      </c>
    </row>
    <row r="180" spans="1:6">
      <c r="A180" s="244">
        <v>78</v>
      </c>
      <c r="B180" s="528" t="s">
        <v>41</v>
      </c>
      <c r="C180" s="244" t="s">
        <v>355</v>
      </c>
      <c r="D180" s="244">
        <v>1</v>
      </c>
      <c r="E180" s="851">
        <v>5000</v>
      </c>
      <c r="F180" s="851">
        <v>5000</v>
      </c>
    </row>
    <row r="181" spans="1:6">
      <c r="A181" s="244">
        <v>79</v>
      </c>
      <c r="B181" s="528" t="s">
        <v>356</v>
      </c>
      <c r="C181" s="244" t="s">
        <v>323</v>
      </c>
      <c r="D181" s="244">
        <v>1</v>
      </c>
      <c r="E181" s="851">
        <v>20000</v>
      </c>
      <c r="F181" s="851">
        <v>20000</v>
      </c>
    </row>
    <row r="182" spans="1:6">
      <c r="A182" s="244">
        <v>80</v>
      </c>
      <c r="B182" s="528" t="s">
        <v>357</v>
      </c>
      <c r="C182" s="244" t="s">
        <v>323</v>
      </c>
      <c r="D182" s="244">
        <v>1</v>
      </c>
      <c r="E182" s="851">
        <v>10000</v>
      </c>
      <c r="F182" s="851">
        <v>10000</v>
      </c>
    </row>
    <row r="183" spans="1:6">
      <c r="A183" s="244">
        <v>81</v>
      </c>
      <c r="B183" s="528" t="s">
        <v>358</v>
      </c>
      <c r="C183" s="244" t="s">
        <v>359</v>
      </c>
      <c r="D183" s="244">
        <v>1</v>
      </c>
      <c r="E183" s="851">
        <v>2000</v>
      </c>
      <c r="F183" s="851">
        <v>2000</v>
      </c>
    </row>
    <row r="184" spans="1:6">
      <c r="A184" s="244">
        <v>82</v>
      </c>
      <c r="B184" s="528" t="s">
        <v>362</v>
      </c>
      <c r="C184" s="244" t="s">
        <v>323</v>
      </c>
      <c r="D184" s="244">
        <v>1</v>
      </c>
      <c r="E184" s="851">
        <v>3000</v>
      </c>
      <c r="F184" s="851">
        <v>3000</v>
      </c>
    </row>
    <row r="185" spans="1:6">
      <c r="A185" s="244">
        <v>83</v>
      </c>
      <c r="B185" s="528" t="s">
        <v>1018</v>
      </c>
      <c r="C185" s="244" t="s">
        <v>143</v>
      </c>
      <c r="D185" s="244">
        <v>1</v>
      </c>
      <c r="E185" s="851">
        <v>150000</v>
      </c>
      <c r="F185" s="851">
        <v>150000</v>
      </c>
    </row>
    <row r="186" spans="1:6">
      <c r="A186" s="244">
        <v>84</v>
      </c>
      <c r="B186" s="528" t="s">
        <v>1019</v>
      </c>
      <c r="C186" s="244" t="s">
        <v>323</v>
      </c>
      <c r="D186" s="244">
        <v>1</v>
      </c>
      <c r="E186" s="851">
        <v>2700</v>
      </c>
      <c r="F186" s="851">
        <v>2700</v>
      </c>
    </row>
    <row r="187" spans="1:6">
      <c r="A187" s="244">
        <v>85</v>
      </c>
      <c r="B187" s="528" t="s">
        <v>654</v>
      </c>
      <c r="C187" s="244" t="s">
        <v>323</v>
      </c>
      <c r="D187" s="244">
        <v>1</v>
      </c>
      <c r="E187" s="851">
        <v>4000</v>
      </c>
      <c r="F187" s="851">
        <v>4000</v>
      </c>
    </row>
    <row r="188" spans="1:6">
      <c r="A188" s="244">
        <v>86</v>
      </c>
      <c r="B188" s="528" t="s">
        <v>631</v>
      </c>
      <c r="C188" s="244" t="s">
        <v>323</v>
      </c>
      <c r="D188" s="244">
        <v>1</v>
      </c>
      <c r="E188" s="851">
        <v>400000</v>
      </c>
      <c r="F188" s="851">
        <v>400000</v>
      </c>
    </row>
    <row r="189" spans="1:6">
      <c r="A189" s="244">
        <v>87</v>
      </c>
      <c r="B189" s="528" t="s">
        <v>1020</v>
      </c>
      <c r="C189" s="244" t="s">
        <v>143</v>
      </c>
      <c r="D189" s="244">
        <v>1</v>
      </c>
      <c r="E189" s="851">
        <v>30000</v>
      </c>
      <c r="F189" s="851">
        <v>30000</v>
      </c>
    </row>
    <row r="190" spans="1:6">
      <c r="A190" s="244">
        <v>88</v>
      </c>
      <c r="B190" s="528" t="s">
        <v>1021</v>
      </c>
      <c r="C190" s="244" t="s">
        <v>359</v>
      </c>
      <c r="D190" s="244">
        <v>1</v>
      </c>
      <c r="E190" s="851">
        <v>1000</v>
      </c>
      <c r="F190" s="851">
        <v>1000</v>
      </c>
    </row>
    <row r="191" spans="1:6">
      <c r="A191" s="244">
        <v>89</v>
      </c>
      <c r="B191" s="528" t="s">
        <v>384</v>
      </c>
      <c r="C191" s="244" t="s">
        <v>143</v>
      </c>
      <c r="D191" s="244">
        <v>1</v>
      </c>
      <c r="E191" s="851">
        <v>770000</v>
      </c>
      <c r="F191" s="851">
        <v>770000</v>
      </c>
    </row>
    <row r="192" spans="1:6">
      <c r="A192" s="244">
        <v>90</v>
      </c>
      <c r="B192" s="528" t="s">
        <v>1022</v>
      </c>
      <c r="C192" s="244" t="s">
        <v>347</v>
      </c>
      <c r="D192" s="244">
        <v>1</v>
      </c>
      <c r="E192" s="851">
        <v>2600</v>
      </c>
      <c r="F192" s="851">
        <v>2600</v>
      </c>
    </row>
    <row r="193" spans="1:6">
      <c r="A193" s="244">
        <v>91</v>
      </c>
      <c r="B193" s="528" t="s">
        <v>1023</v>
      </c>
      <c r="C193" s="244" t="s">
        <v>347</v>
      </c>
      <c r="D193" s="244">
        <v>1</v>
      </c>
      <c r="E193" s="851">
        <v>3500</v>
      </c>
      <c r="F193" s="851">
        <v>3500</v>
      </c>
    </row>
    <row r="194" spans="1:6">
      <c r="A194" s="244">
        <v>92</v>
      </c>
      <c r="B194" s="528" t="s">
        <v>1024</v>
      </c>
      <c r="C194" s="244" t="s">
        <v>323</v>
      </c>
      <c r="D194" s="244">
        <v>1</v>
      </c>
      <c r="E194" s="851">
        <v>38600</v>
      </c>
      <c r="F194" s="851">
        <v>38600</v>
      </c>
    </row>
    <row r="195" spans="1:6">
      <c r="A195" s="244">
        <v>93</v>
      </c>
      <c r="B195" s="528" t="s">
        <v>1025</v>
      </c>
      <c r="C195" s="244" t="s">
        <v>1026</v>
      </c>
      <c r="D195" s="244">
        <v>1</v>
      </c>
      <c r="E195" s="851">
        <v>4700</v>
      </c>
      <c r="F195" s="851">
        <v>4700</v>
      </c>
    </row>
    <row r="196" spans="1:6">
      <c r="A196" s="244">
        <v>94</v>
      </c>
      <c r="B196" s="528" t="s">
        <v>1027</v>
      </c>
      <c r="C196" s="244" t="s">
        <v>323</v>
      </c>
      <c r="D196" s="244">
        <v>1</v>
      </c>
      <c r="E196" s="851">
        <v>145000</v>
      </c>
      <c r="F196" s="851">
        <v>145000</v>
      </c>
    </row>
    <row r="197" spans="1:6">
      <c r="A197" s="244">
        <v>95</v>
      </c>
      <c r="B197" s="528" t="s">
        <v>1028</v>
      </c>
      <c r="C197" s="244" t="s">
        <v>641</v>
      </c>
      <c r="D197" s="244">
        <v>1</v>
      </c>
      <c r="E197" s="851">
        <v>168000</v>
      </c>
      <c r="F197" s="851">
        <v>168000</v>
      </c>
    </row>
    <row r="198" spans="1:6">
      <c r="A198" s="244">
        <v>96</v>
      </c>
      <c r="B198" s="528" t="s">
        <v>1029</v>
      </c>
      <c r="C198" s="244" t="s">
        <v>641</v>
      </c>
      <c r="D198" s="244">
        <v>1</v>
      </c>
      <c r="E198" s="851">
        <v>14000</v>
      </c>
      <c r="F198" s="851">
        <v>14000</v>
      </c>
    </row>
    <row r="199" spans="1:6">
      <c r="A199" s="244">
        <v>97</v>
      </c>
      <c r="B199" s="528" t="s">
        <v>1030</v>
      </c>
      <c r="C199" s="244" t="s">
        <v>1031</v>
      </c>
      <c r="D199" s="244">
        <v>1</v>
      </c>
      <c r="E199" s="851">
        <v>130000</v>
      </c>
      <c r="F199" s="851">
        <v>130000</v>
      </c>
    </row>
    <row r="200" spans="1:6">
      <c r="A200" s="244">
        <v>98</v>
      </c>
      <c r="B200" s="528" t="s">
        <v>1032</v>
      </c>
      <c r="C200" s="244" t="s">
        <v>323</v>
      </c>
      <c r="D200" s="244">
        <v>1</v>
      </c>
      <c r="E200" s="851">
        <v>305000</v>
      </c>
      <c r="F200" s="851">
        <v>305000</v>
      </c>
    </row>
    <row r="201" spans="1:6">
      <c r="A201" s="244">
        <v>99</v>
      </c>
      <c r="B201" s="528" t="s">
        <v>1033</v>
      </c>
      <c r="C201" s="244" t="s">
        <v>323</v>
      </c>
      <c r="D201" s="244">
        <v>1</v>
      </c>
      <c r="E201" s="851">
        <v>850000</v>
      </c>
      <c r="F201" s="851">
        <v>850000</v>
      </c>
    </row>
    <row r="202" spans="1:6">
      <c r="A202" s="244">
        <v>100</v>
      </c>
      <c r="B202" s="528" t="s">
        <v>1034</v>
      </c>
      <c r="C202" s="244" t="s">
        <v>1035</v>
      </c>
      <c r="D202" s="244">
        <v>1</v>
      </c>
      <c r="E202" s="851">
        <v>43000</v>
      </c>
      <c r="F202" s="851">
        <v>43000</v>
      </c>
    </row>
    <row r="203" spans="1:6">
      <c r="A203" s="244">
        <v>101</v>
      </c>
      <c r="B203" s="528" t="s">
        <v>1036</v>
      </c>
      <c r="C203" s="244" t="s">
        <v>1035</v>
      </c>
      <c r="D203" s="244">
        <v>1</v>
      </c>
      <c r="E203" s="851">
        <v>250000</v>
      </c>
      <c r="F203" s="851">
        <v>250000</v>
      </c>
    </row>
    <row r="204" spans="1:6">
      <c r="A204" s="244">
        <v>102</v>
      </c>
      <c r="B204" s="528" t="s">
        <v>1037</v>
      </c>
      <c r="C204" s="244" t="s">
        <v>1035</v>
      </c>
      <c r="D204" s="244">
        <v>1</v>
      </c>
      <c r="E204" s="851">
        <v>120000</v>
      </c>
      <c r="F204" s="851">
        <v>120000</v>
      </c>
    </row>
    <row r="205" spans="1:6">
      <c r="A205" s="244">
        <v>103</v>
      </c>
      <c r="B205" s="528" t="s">
        <v>1038</v>
      </c>
      <c r="C205" s="244" t="s">
        <v>1035</v>
      </c>
      <c r="D205" s="244">
        <v>1</v>
      </c>
      <c r="E205" s="851">
        <v>230000</v>
      </c>
      <c r="F205" s="851">
        <v>230000</v>
      </c>
    </row>
    <row r="206" spans="1:6">
      <c r="A206" s="244">
        <v>104</v>
      </c>
      <c r="B206" s="528" t="s">
        <v>1039</v>
      </c>
      <c r="C206" s="244" t="s">
        <v>323</v>
      </c>
      <c r="D206" s="244">
        <v>1</v>
      </c>
      <c r="E206" s="851">
        <v>650000</v>
      </c>
      <c r="F206" s="851">
        <v>650000</v>
      </c>
    </row>
    <row r="207" spans="1:6">
      <c r="A207" s="244">
        <v>105</v>
      </c>
      <c r="B207" s="528" t="s">
        <v>1040</v>
      </c>
      <c r="C207" s="244" t="s">
        <v>981</v>
      </c>
      <c r="D207" s="244">
        <v>1</v>
      </c>
      <c r="E207" s="851">
        <v>27000</v>
      </c>
      <c r="F207" s="851">
        <v>27000</v>
      </c>
    </row>
    <row r="208" spans="1:6">
      <c r="A208" s="244">
        <v>106</v>
      </c>
      <c r="B208" s="528" t="s">
        <v>1041</v>
      </c>
      <c r="C208" s="244" t="s">
        <v>981</v>
      </c>
      <c r="D208" s="244">
        <v>1</v>
      </c>
      <c r="E208" s="851">
        <v>30620</v>
      </c>
      <c r="F208" s="851">
        <v>30620</v>
      </c>
    </row>
    <row r="209" spans="1:6">
      <c r="A209" s="244">
        <v>107</v>
      </c>
      <c r="B209" s="528" t="s">
        <v>1042</v>
      </c>
      <c r="C209" s="244" t="s">
        <v>323</v>
      </c>
      <c r="D209" s="244">
        <v>1</v>
      </c>
      <c r="E209" s="851">
        <v>13560</v>
      </c>
      <c r="F209" s="851">
        <v>13560</v>
      </c>
    </row>
    <row r="210" spans="1:6">
      <c r="A210" s="244">
        <v>108</v>
      </c>
      <c r="B210" s="528" t="s">
        <v>1043</v>
      </c>
      <c r="C210" s="244" t="s">
        <v>641</v>
      </c>
      <c r="D210" s="244">
        <v>1</v>
      </c>
      <c r="E210" s="851">
        <v>88000</v>
      </c>
      <c r="F210" s="851">
        <v>88000</v>
      </c>
    </row>
    <row r="211" spans="1:6">
      <c r="A211" s="244">
        <v>109</v>
      </c>
      <c r="B211" s="528" t="s">
        <v>1044</v>
      </c>
      <c r="C211" s="244" t="s">
        <v>641</v>
      </c>
      <c r="D211" s="244">
        <v>1</v>
      </c>
      <c r="E211" s="851">
        <v>126000</v>
      </c>
      <c r="F211" s="851">
        <v>126000</v>
      </c>
    </row>
    <row r="212" spans="1:6">
      <c r="A212" s="244">
        <v>110</v>
      </c>
      <c r="B212" s="528" t="s">
        <v>1045</v>
      </c>
      <c r="C212" s="244" t="s">
        <v>641</v>
      </c>
      <c r="D212" s="244">
        <v>1</v>
      </c>
      <c r="E212" s="851">
        <v>198000</v>
      </c>
      <c r="F212" s="851">
        <v>198000</v>
      </c>
    </row>
    <row r="213" spans="1:6">
      <c r="A213" s="244">
        <v>111</v>
      </c>
      <c r="B213" s="528" t="s">
        <v>1046</v>
      </c>
      <c r="C213" s="244" t="s">
        <v>143</v>
      </c>
      <c r="D213" s="244">
        <v>1</v>
      </c>
      <c r="E213" s="851">
        <v>6182</v>
      </c>
      <c r="F213" s="851">
        <v>6182</v>
      </c>
    </row>
    <row r="214" spans="1:6">
      <c r="A214" s="244">
        <v>112</v>
      </c>
      <c r="B214" s="528" t="s">
        <v>1047</v>
      </c>
      <c r="C214" s="244" t="s">
        <v>641</v>
      </c>
      <c r="D214" s="244">
        <v>1</v>
      </c>
      <c r="E214" s="851">
        <v>21172</v>
      </c>
      <c r="F214" s="851">
        <v>21172</v>
      </c>
    </row>
    <row r="215" spans="1:6">
      <c r="A215" s="244">
        <v>113</v>
      </c>
      <c r="B215" s="528" t="s">
        <v>1048</v>
      </c>
      <c r="C215" s="244" t="s">
        <v>1035</v>
      </c>
      <c r="D215" s="244">
        <v>1</v>
      </c>
      <c r="E215" s="851">
        <v>853000</v>
      </c>
      <c r="F215" s="851">
        <v>853000</v>
      </c>
    </row>
    <row r="216" spans="1:6" ht="18.5">
      <c r="A216" s="244">
        <v>114</v>
      </c>
      <c r="B216" s="528" t="s">
        <v>1049</v>
      </c>
      <c r="C216" s="244" t="s">
        <v>1050</v>
      </c>
      <c r="D216" s="244">
        <v>1</v>
      </c>
      <c r="E216" s="851">
        <v>1600000</v>
      </c>
      <c r="F216" s="851">
        <v>1600000</v>
      </c>
    </row>
    <row r="217" spans="1:6" ht="18.5">
      <c r="A217" s="244">
        <v>115</v>
      </c>
      <c r="B217" s="528" t="s">
        <v>1051</v>
      </c>
      <c r="C217" s="244" t="s">
        <v>1050</v>
      </c>
      <c r="D217" s="244">
        <v>1</v>
      </c>
      <c r="E217" s="851">
        <v>88000</v>
      </c>
      <c r="F217" s="851">
        <v>88000</v>
      </c>
    </row>
    <row r="218" spans="1:6">
      <c r="A218" s="244">
        <v>116</v>
      </c>
      <c r="B218" s="528" t="s">
        <v>1052</v>
      </c>
      <c r="C218" s="244" t="s">
        <v>1053</v>
      </c>
      <c r="D218" s="244">
        <v>1</v>
      </c>
      <c r="E218" s="851">
        <v>135000</v>
      </c>
      <c r="F218" s="851">
        <v>135000</v>
      </c>
    </row>
    <row r="219" spans="1:6">
      <c r="A219" s="244">
        <v>117</v>
      </c>
      <c r="B219" s="528" t="s">
        <v>1054</v>
      </c>
      <c r="C219" s="244" t="s">
        <v>323</v>
      </c>
      <c r="D219" s="244">
        <v>1</v>
      </c>
      <c r="E219" s="851">
        <v>1000</v>
      </c>
      <c r="F219" s="851">
        <v>1000</v>
      </c>
    </row>
    <row r="220" spans="1:6">
      <c r="A220" s="244">
        <v>118</v>
      </c>
      <c r="B220" s="528" t="s">
        <v>1055</v>
      </c>
      <c r="C220" s="244" t="s">
        <v>323</v>
      </c>
      <c r="D220" s="244">
        <v>1</v>
      </c>
      <c r="E220" s="851">
        <v>49680</v>
      </c>
      <c r="F220" s="851">
        <v>49680</v>
      </c>
    </row>
    <row r="221" spans="1:6">
      <c r="A221" s="244">
        <v>119</v>
      </c>
      <c r="B221" s="528" t="s">
        <v>1056</v>
      </c>
      <c r="C221" s="244" t="s">
        <v>323</v>
      </c>
      <c r="D221" s="244">
        <v>1</v>
      </c>
      <c r="E221" s="851">
        <v>57600</v>
      </c>
      <c r="F221" s="851">
        <v>57600</v>
      </c>
    </row>
    <row r="222" spans="1:6">
      <c r="A222" s="244">
        <v>120</v>
      </c>
      <c r="B222" s="528" t="s">
        <v>1057</v>
      </c>
      <c r="C222" s="244" t="s">
        <v>1035</v>
      </c>
      <c r="D222" s="244">
        <v>1</v>
      </c>
      <c r="E222" s="851">
        <v>140000</v>
      </c>
      <c r="F222" s="851">
        <v>140000</v>
      </c>
    </row>
    <row r="223" spans="1:6">
      <c r="A223" s="244">
        <v>121</v>
      </c>
      <c r="B223" s="528" t="s">
        <v>1058</v>
      </c>
      <c r="C223" s="244" t="s">
        <v>323</v>
      </c>
      <c r="D223" s="244">
        <v>1</v>
      </c>
      <c r="E223" s="851">
        <v>618426</v>
      </c>
      <c r="F223" s="851">
        <v>618426</v>
      </c>
    </row>
    <row r="224" spans="1:6">
      <c r="A224" s="244">
        <v>122</v>
      </c>
      <c r="B224" s="528" t="s">
        <v>1059</v>
      </c>
      <c r="C224" s="244" t="s">
        <v>323</v>
      </c>
      <c r="D224" s="244">
        <v>1</v>
      </c>
      <c r="E224" s="851">
        <v>51000</v>
      </c>
      <c r="F224" s="851">
        <v>51000</v>
      </c>
    </row>
    <row r="225" spans="1:6">
      <c r="A225" s="244">
        <v>123</v>
      </c>
      <c r="B225" s="528" t="s">
        <v>1060</v>
      </c>
      <c r="C225" s="244" t="s">
        <v>981</v>
      </c>
      <c r="D225" s="244">
        <v>1</v>
      </c>
      <c r="E225" s="851">
        <v>24360</v>
      </c>
      <c r="F225" s="851">
        <v>24360</v>
      </c>
    </row>
    <row r="226" spans="1:6">
      <c r="A226" s="244">
        <v>124</v>
      </c>
      <c r="B226" s="528" t="s">
        <v>1061</v>
      </c>
      <c r="C226" s="244" t="s">
        <v>981</v>
      </c>
      <c r="D226" s="244">
        <v>1</v>
      </c>
      <c r="E226" s="851">
        <v>194249</v>
      </c>
      <c r="F226" s="851">
        <v>194249</v>
      </c>
    </row>
    <row r="227" spans="1:6">
      <c r="A227" s="244">
        <v>125</v>
      </c>
      <c r="B227" s="528" t="s">
        <v>1062</v>
      </c>
      <c r="C227" s="244" t="s">
        <v>981</v>
      </c>
      <c r="D227" s="244">
        <v>1</v>
      </c>
      <c r="E227" s="851">
        <v>180000</v>
      </c>
      <c r="F227" s="851">
        <v>180000</v>
      </c>
    </row>
    <row r="228" spans="1:6">
      <c r="A228" s="244">
        <v>126</v>
      </c>
      <c r="B228" s="528" t="s">
        <v>1063</v>
      </c>
      <c r="C228" s="244" t="s">
        <v>1064</v>
      </c>
      <c r="D228" s="244">
        <v>1</v>
      </c>
      <c r="E228" s="851">
        <v>164000</v>
      </c>
      <c r="F228" s="851">
        <v>164000</v>
      </c>
    </row>
    <row r="229" spans="1:6" ht="18.5">
      <c r="A229" s="244">
        <v>127</v>
      </c>
      <c r="B229" s="528" t="s">
        <v>1065</v>
      </c>
      <c r="C229" s="244" t="s">
        <v>975</v>
      </c>
      <c r="D229" s="244">
        <v>1</v>
      </c>
      <c r="E229" s="851">
        <v>5000</v>
      </c>
      <c r="F229" s="851">
        <v>5000</v>
      </c>
    </row>
    <row r="230" spans="1:6">
      <c r="A230" s="853" t="s">
        <v>108</v>
      </c>
      <c r="B230" s="172" t="s">
        <v>1066</v>
      </c>
      <c r="C230" s="244"/>
      <c r="D230" s="244"/>
      <c r="E230" s="851">
        <v>0</v>
      </c>
      <c r="F230" s="851">
        <v>0</v>
      </c>
    </row>
    <row r="231" spans="1:6">
      <c r="A231" s="854">
        <v>1</v>
      </c>
      <c r="B231" s="528" t="s">
        <v>1067</v>
      </c>
      <c r="C231" s="244" t="s">
        <v>323</v>
      </c>
      <c r="D231" s="244">
        <v>1</v>
      </c>
      <c r="E231" s="851">
        <v>686364000</v>
      </c>
      <c r="F231" s="851">
        <v>686364000</v>
      </c>
    </row>
    <row r="232" spans="1:6">
      <c r="A232" s="854">
        <v>2</v>
      </c>
      <c r="B232" s="528" t="s">
        <v>1068</v>
      </c>
      <c r="C232" s="244" t="s">
        <v>337</v>
      </c>
      <c r="D232" s="244">
        <v>1</v>
      </c>
      <c r="E232" s="851">
        <v>98800000</v>
      </c>
      <c r="F232" s="851">
        <v>98800000</v>
      </c>
    </row>
    <row r="233" spans="1:6">
      <c r="A233" s="854">
        <v>3</v>
      </c>
      <c r="B233" s="528" t="s">
        <v>637</v>
      </c>
      <c r="C233" s="244" t="s">
        <v>337</v>
      </c>
      <c r="D233" s="244">
        <v>1</v>
      </c>
      <c r="E233" s="851">
        <v>13800000</v>
      </c>
      <c r="F233" s="851">
        <v>13800000</v>
      </c>
    </row>
    <row r="234" spans="1:6">
      <c r="A234" s="244">
        <v>4</v>
      </c>
      <c r="B234" s="528" t="s">
        <v>1069</v>
      </c>
      <c r="C234" s="244" t="s">
        <v>323</v>
      </c>
      <c r="D234" s="244">
        <v>1</v>
      </c>
      <c r="E234" s="851">
        <v>1100000</v>
      </c>
      <c r="F234" s="851">
        <v>1100000</v>
      </c>
    </row>
    <row r="235" spans="1:6">
      <c r="A235" s="244">
        <v>5</v>
      </c>
      <c r="B235" s="528" t="s">
        <v>1070</v>
      </c>
      <c r="C235" s="244" t="s">
        <v>323</v>
      </c>
      <c r="D235" s="244">
        <v>1</v>
      </c>
      <c r="E235" s="851">
        <v>13900000</v>
      </c>
      <c r="F235" s="851">
        <v>13900000</v>
      </c>
    </row>
    <row r="236" spans="1:6">
      <c r="A236" s="244">
        <v>6</v>
      </c>
      <c r="B236" s="528" t="s">
        <v>636</v>
      </c>
      <c r="C236" s="244" t="s">
        <v>337</v>
      </c>
      <c r="D236" s="244">
        <v>1</v>
      </c>
      <c r="E236" s="851">
        <v>85000000</v>
      </c>
      <c r="F236" s="851">
        <v>85000000</v>
      </c>
    </row>
    <row r="237" spans="1:6">
      <c r="A237" s="244">
        <v>7</v>
      </c>
      <c r="B237" s="528" t="s">
        <v>1071</v>
      </c>
      <c r="C237" s="244" t="s">
        <v>323</v>
      </c>
      <c r="D237" s="244">
        <v>1</v>
      </c>
      <c r="E237" s="851">
        <v>13127000</v>
      </c>
      <c r="F237" s="851">
        <v>13127000</v>
      </c>
    </row>
    <row r="238" spans="1:6">
      <c r="A238" s="244">
        <v>8</v>
      </c>
      <c r="B238" s="528" t="s">
        <v>1072</v>
      </c>
      <c r="C238" s="244" t="s">
        <v>323</v>
      </c>
      <c r="D238" s="244">
        <v>1</v>
      </c>
      <c r="E238" s="851">
        <v>4082000</v>
      </c>
      <c r="F238" s="851">
        <v>4082000</v>
      </c>
    </row>
    <row r="239" spans="1:6">
      <c r="A239" s="244">
        <v>9</v>
      </c>
      <c r="B239" s="528" t="s">
        <v>369</v>
      </c>
      <c r="C239" s="244" t="s">
        <v>323</v>
      </c>
      <c r="D239" s="244">
        <v>1</v>
      </c>
      <c r="E239" s="851">
        <v>101818000</v>
      </c>
      <c r="F239" s="851">
        <v>101818000</v>
      </c>
    </row>
    <row r="240" spans="1:6">
      <c r="A240" s="244">
        <v>10</v>
      </c>
      <c r="B240" s="528" t="s">
        <v>1073</v>
      </c>
      <c r="C240" s="244" t="s">
        <v>323</v>
      </c>
      <c r="D240" s="244">
        <v>1</v>
      </c>
      <c r="E240" s="851">
        <v>9910000</v>
      </c>
      <c r="F240" s="851">
        <v>9910000</v>
      </c>
    </row>
    <row r="241" spans="1:6">
      <c r="A241" s="244">
        <v>11</v>
      </c>
      <c r="B241" s="528" t="s">
        <v>1074</v>
      </c>
      <c r="C241" s="244" t="s">
        <v>323</v>
      </c>
      <c r="D241" s="244">
        <v>1</v>
      </c>
      <c r="E241" s="851">
        <v>51190000</v>
      </c>
      <c r="F241" s="851">
        <v>51190000</v>
      </c>
    </row>
    <row r="242" spans="1:6">
      <c r="A242" s="244">
        <v>12</v>
      </c>
      <c r="B242" s="528" t="s">
        <v>1075</v>
      </c>
      <c r="C242" s="244" t="s">
        <v>323</v>
      </c>
      <c r="D242" s="244">
        <v>1</v>
      </c>
      <c r="E242" s="851">
        <v>66000000</v>
      </c>
      <c r="F242" s="851">
        <v>66000000</v>
      </c>
    </row>
    <row r="243" spans="1:6">
      <c r="A243" s="244">
        <v>13</v>
      </c>
      <c r="B243" s="528" t="s">
        <v>635</v>
      </c>
      <c r="C243" s="244" t="s">
        <v>337</v>
      </c>
      <c r="D243" s="244">
        <v>1</v>
      </c>
      <c r="E243" s="851">
        <v>16236000</v>
      </c>
      <c r="F243" s="851">
        <v>16236000</v>
      </c>
    </row>
    <row r="244" spans="1:6">
      <c r="A244" s="244">
        <v>14</v>
      </c>
      <c r="B244" s="528" t="s">
        <v>634</v>
      </c>
      <c r="C244" s="244" t="s">
        <v>323</v>
      </c>
      <c r="D244" s="244">
        <v>1</v>
      </c>
      <c r="E244" s="851">
        <v>135000000</v>
      </c>
      <c r="F244" s="851">
        <v>135000000</v>
      </c>
    </row>
    <row r="245" spans="1:6">
      <c r="A245" s="244">
        <v>15</v>
      </c>
      <c r="B245" s="528" t="s">
        <v>1076</v>
      </c>
      <c r="C245" s="244" t="s">
        <v>323</v>
      </c>
      <c r="D245" s="244">
        <v>1</v>
      </c>
      <c r="E245" s="851">
        <v>14445000</v>
      </c>
      <c r="F245" s="851">
        <v>14445000</v>
      </c>
    </row>
    <row r="246" spans="1:6">
      <c r="A246" s="244">
        <v>16</v>
      </c>
      <c r="B246" s="528" t="s">
        <v>1077</v>
      </c>
      <c r="C246" s="244" t="s">
        <v>323</v>
      </c>
      <c r="D246" s="244">
        <v>1</v>
      </c>
      <c r="E246" s="851">
        <v>3990000</v>
      </c>
      <c r="F246" s="851">
        <v>3990000</v>
      </c>
    </row>
    <row r="247" spans="1:6">
      <c r="A247" s="244">
        <v>17</v>
      </c>
      <c r="B247" s="528" t="s">
        <v>343</v>
      </c>
      <c r="C247" s="244" t="s">
        <v>323</v>
      </c>
      <c r="D247" s="244">
        <v>1</v>
      </c>
      <c r="E247" s="851">
        <v>78082000</v>
      </c>
      <c r="F247" s="851">
        <v>78082000</v>
      </c>
    </row>
    <row r="248" spans="1:6">
      <c r="A248" s="244">
        <v>18</v>
      </c>
      <c r="B248" s="528" t="s">
        <v>1078</v>
      </c>
      <c r="C248" s="244" t="s">
        <v>323</v>
      </c>
      <c r="D248" s="244">
        <v>1</v>
      </c>
      <c r="E248" s="851">
        <v>179900000</v>
      </c>
      <c r="F248" s="851">
        <v>179900000</v>
      </c>
    </row>
    <row r="249" spans="1:6">
      <c r="A249" s="244">
        <v>19</v>
      </c>
      <c r="B249" s="528" t="s">
        <v>1079</v>
      </c>
      <c r="C249" s="244" t="s">
        <v>323</v>
      </c>
      <c r="D249" s="244">
        <v>1</v>
      </c>
      <c r="E249" s="851">
        <v>500000000</v>
      </c>
      <c r="F249" s="851">
        <v>500000000</v>
      </c>
    </row>
    <row r="250" spans="1:6">
      <c r="A250" s="244">
        <v>20</v>
      </c>
      <c r="B250" s="528" t="s">
        <v>1080</v>
      </c>
      <c r="C250" s="244" t="s">
        <v>323</v>
      </c>
      <c r="D250" s="244">
        <v>1</v>
      </c>
      <c r="E250" s="851">
        <v>15150000</v>
      </c>
      <c r="F250" s="851">
        <v>15150000</v>
      </c>
    </row>
    <row r="251" spans="1:6">
      <c r="A251" s="244">
        <v>21</v>
      </c>
      <c r="B251" s="528" t="s">
        <v>1081</v>
      </c>
      <c r="C251" s="244" t="s">
        <v>323</v>
      </c>
      <c r="D251" s="244">
        <v>1</v>
      </c>
      <c r="E251" s="851">
        <v>16900000</v>
      </c>
      <c r="F251" s="851">
        <v>16900000</v>
      </c>
    </row>
    <row r="252" spans="1:6">
      <c r="A252" s="244">
        <v>22</v>
      </c>
      <c r="B252" s="528" t="s">
        <v>1082</v>
      </c>
      <c r="C252" s="244" t="s">
        <v>323</v>
      </c>
      <c r="D252" s="244">
        <v>1</v>
      </c>
      <c r="E252" s="851">
        <v>1999000</v>
      </c>
      <c r="F252" s="851">
        <v>1999000</v>
      </c>
    </row>
    <row r="253" spans="1:6">
      <c r="A253" s="244">
        <v>23</v>
      </c>
      <c r="B253" s="528" t="s">
        <v>1083</v>
      </c>
      <c r="C253" s="244" t="s">
        <v>323</v>
      </c>
      <c r="D253" s="244">
        <v>1</v>
      </c>
      <c r="E253" s="851">
        <v>15690000</v>
      </c>
      <c r="F253" s="851">
        <v>15690000</v>
      </c>
    </row>
    <row r="254" spans="1:6">
      <c r="A254" s="244">
        <v>24</v>
      </c>
      <c r="B254" s="528" t="s">
        <v>1084</v>
      </c>
      <c r="C254" s="244" t="s">
        <v>323</v>
      </c>
      <c r="D254" s="244">
        <v>1</v>
      </c>
      <c r="E254" s="851">
        <v>465000</v>
      </c>
      <c r="F254" s="851">
        <v>465000</v>
      </c>
    </row>
    <row r="255" spans="1:6">
      <c r="A255" s="244">
        <v>25</v>
      </c>
      <c r="B255" s="528" t="s">
        <v>391</v>
      </c>
      <c r="C255" s="244" t="s">
        <v>323</v>
      </c>
      <c r="D255" s="244">
        <v>1</v>
      </c>
      <c r="E255" s="851">
        <v>85223000</v>
      </c>
      <c r="F255" s="851">
        <v>85223000</v>
      </c>
    </row>
    <row r="256" spans="1:6">
      <c r="A256" s="244">
        <v>26</v>
      </c>
      <c r="B256" s="528" t="s">
        <v>633</v>
      </c>
      <c r="C256" s="244" t="s">
        <v>323</v>
      </c>
      <c r="D256" s="244">
        <v>1</v>
      </c>
      <c r="E256" s="851">
        <v>280800000</v>
      </c>
      <c r="F256" s="851">
        <v>280800000</v>
      </c>
    </row>
    <row r="257" spans="1:6">
      <c r="A257" s="167" t="s">
        <v>540</v>
      </c>
      <c r="B257" s="172" t="s">
        <v>1085</v>
      </c>
      <c r="C257" s="244"/>
      <c r="D257" s="244"/>
      <c r="E257" s="851">
        <v>0</v>
      </c>
      <c r="F257" s="851">
        <v>0</v>
      </c>
    </row>
    <row r="258" spans="1:6">
      <c r="A258" s="244">
        <v>1</v>
      </c>
      <c r="B258" s="528" t="s">
        <v>1086</v>
      </c>
      <c r="C258" s="244" t="s">
        <v>1087</v>
      </c>
      <c r="D258" s="244">
        <v>1</v>
      </c>
      <c r="E258" s="851">
        <v>13600000</v>
      </c>
      <c r="F258" s="851">
        <v>13600000</v>
      </c>
    </row>
    <row r="259" spans="1:6">
      <c r="A259" s="244">
        <v>2</v>
      </c>
      <c r="B259" s="528" t="s">
        <v>1088</v>
      </c>
      <c r="C259" s="244" t="s">
        <v>1087</v>
      </c>
      <c r="D259" s="244">
        <v>1</v>
      </c>
      <c r="E259" s="851">
        <v>170790000</v>
      </c>
      <c r="F259" s="851">
        <v>170790000</v>
      </c>
    </row>
    <row r="260" spans="1:6">
      <c r="A260" s="244">
        <v>3</v>
      </c>
      <c r="B260" s="528" t="s">
        <v>1089</v>
      </c>
      <c r="C260" s="244" t="s">
        <v>1087</v>
      </c>
      <c r="D260" s="244">
        <v>1</v>
      </c>
      <c r="E260" s="851">
        <v>170790000</v>
      </c>
      <c r="F260" s="851">
        <v>170790000</v>
      </c>
    </row>
    <row r="261" spans="1:6">
      <c r="A261" s="244">
        <v>4</v>
      </c>
      <c r="B261" s="528" t="s">
        <v>1090</v>
      </c>
      <c r="C261" s="244" t="s">
        <v>323</v>
      </c>
      <c r="D261" s="244">
        <v>1</v>
      </c>
      <c r="E261" s="851">
        <v>49253000</v>
      </c>
      <c r="F261" s="851">
        <v>49253000</v>
      </c>
    </row>
    <row r="262" spans="1:6">
      <c r="A262" s="244">
        <v>5</v>
      </c>
      <c r="B262" s="528" t="s">
        <v>1091</v>
      </c>
      <c r="C262" s="244" t="s">
        <v>323</v>
      </c>
      <c r="D262" s="244">
        <v>1</v>
      </c>
      <c r="E262" s="851">
        <v>113048000</v>
      </c>
      <c r="F262" s="851">
        <v>113048000</v>
      </c>
    </row>
    <row r="263" spans="1:6">
      <c r="A263" s="244">
        <v>6</v>
      </c>
      <c r="B263" s="528" t="s">
        <v>1092</v>
      </c>
      <c r="C263" s="244" t="s">
        <v>323</v>
      </c>
      <c r="D263" s="244">
        <v>1</v>
      </c>
      <c r="E263" s="851">
        <v>148270000</v>
      </c>
      <c r="F263" s="851">
        <v>148270000</v>
      </c>
    </row>
    <row r="264" spans="1:6">
      <c r="A264" s="244">
        <v>7</v>
      </c>
      <c r="B264" s="528" t="s">
        <v>1093</v>
      </c>
      <c r="C264" s="244" t="s">
        <v>323</v>
      </c>
      <c r="D264" s="244">
        <v>1</v>
      </c>
      <c r="E264" s="851">
        <v>7077285000</v>
      </c>
      <c r="F264" s="851">
        <v>7077285000</v>
      </c>
    </row>
    <row r="265" spans="1:6">
      <c r="A265" s="244">
        <v>8</v>
      </c>
      <c r="B265" s="528" t="s">
        <v>1094</v>
      </c>
      <c r="C265" s="244" t="s">
        <v>323</v>
      </c>
      <c r="D265" s="244">
        <v>1</v>
      </c>
      <c r="E265" s="851">
        <v>47848218</v>
      </c>
      <c r="F265" s="851">
        <v>47848218</v>
      </c>
    </row>
    <row r="266" spans="1:6">
      <c r="A266" s="244">
        <v>9</v>
      </c>
      <c r="B266" s="528" t="s">
        <v>1095</v>
      </c>
      <c r="C266" s="244" t="s">
        <v>337</v>
      </c>
      <c r="D266" s="244">
        <v>1</v>
      </c>
      <c r="E266" s="851">
        <v>205675344</v>
      </c>
      <c r="F266" s="851">
        <v>205675344</v>
      </c>
    </row>
    <row r="267" spans="1:6">
      <c r="A267" s="244">
        <v>10</v>
      </c>
      <c r="B267" s="528" t="s">
        <v>1096</v>
      </c>
      <c r="C267" s="244" t="s">
        <v>323</v>
      </c>
      <c r="D267" s="244">
        <v>1</v>
      </c>
      <c r="E267" s="851">
        <v>3383302252</v>
      </c>
      <c r="F267" s="851">
        <v>3383302252</v>
      </c>
    </row>
    <row r="268" spans="1:6">
      <c r="A268" s="244">
        <v>11</v>
      </c>
      <c r="B268" s="528" t="s">
        <v>1097</v>
      </c>
      <c r="C268" s="244" t="s">
        <v>323</v>
      </c>
      <c r="D268" s="244">
        <v>1</v>
      </c>
      <c r="E268" s="851">
        <v>193600000</v>
      </c>
      <c r="F268" s="851">
        <v>193600000</v>
      </c>
    </row>
    <row r="269" spans="1:6">
      <c r="A269" s="244">
        <v>12</v>
      </c>
      <c r="B269" s="528" t="s">
        <v>1098</v>
      </c>
      <c r="C269" s="244" t="s">
        <v>323</v>
      </c>
      <c r="D269" s="244">
        <v>1</v>
      </c>
      <c r="E269" s="851">
        <v>520000000</v>
      </c>
      <c r="F269" s="851">
        <v>520000000</v>
      </c>
    </row>
    <row r="270" spans="1:6">
      <c r="A270" s="244">
        <v>13</v>
      </c>
      <c r="B270" s="528" t="s">
        <v>1099</v>
      </c>
      <c r="C270" s="244" t="s">
        <v>1087</v>
      </c>
      <c r="D270" s="244">
        <v>1</v>
      </c>
      <c r="E270" s="851">
        <v>123024630</v>
      </c>
      <c r="F270" s="851">
        <v>123024630</v>
      </c>
    </row>
    <row r="271" spans="1:6">
      <c r="A271" s="244">
        <v>14</v>
      </c>
      <c r="B271" s="528" t="s">
        <v>1100</v>
      </c>
      <c r="C271" s="244" t="s">
        <v>1087</v>
      </c>
      <c r="D271" s="244">
        <v>1</v>
      </c>
      <c r="E271" s="851">
        <v>70012160</v>
      </c>
      <c r="F271" s="851">
        <v>70012160</v>
      </c>
    </row>
    <row r="272" spans="1:6">
      <c r="A272" s="244">
        <v>15</v>
      </c>
      <c r="B272" s="528" t="s">
        <v>1101</v>
      </c>
      <c r="C272" s="244" t="s">
        <v>1087</v>
      </c>
      <c r="D272" s="244">
        <v>1</v>
      </c>
      <c r="E272" s="851">
        <v>45899490</v>
      </c>
      <c r="F272" s="851">
        <v>45899490</v>
      </c>
    </row>
    <row r="273" spans="1:6">
      <c r="A273" s="244">
        <v>16</v>
      </c>
      <c r="B273" s="528" t="s">
        <v>1102</v>
      </c>
      <c r="C273" s="244" t="s">
        <v>1087</v>
      </c>
      <c r="D273" s="244">
        <v>1</v>
      </c>
      <c r="E273" s="851">
        <v>12300000</v>
      </c>
      <c r="F273" s="851">
        <v>12300000</v>
      </c>
    </row>
    <row r="274" spans="1:6">
      <c r="A274" s="244">
        <v>17</v>
      </c>
      <c r="B274" s="528" t="s">
        <v>1103</v>
      </c>
      <c r="C274" s="244" t="s">
        <v>1087</v>
      </c>
      <c r="D274" s="244">
        <v>1</v>
      </c>
      <c r="E274" s="851">
        <v>7590000</v>
      </c>
      <c r="F274" s="851">
        <v>7590000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sheetPr>
  <dimension ref="A1:L74"/>
  <sheetViews>
    <sheetView showZeros="0" workbookViewId="0">
      <pane ySplit="6" topLeftCell="A7" activePane="bottomLeft" state="frozen"/>
      <selection pane="bottomLeft" activeCell="Q5" sqref="Q5"/>
    </sheetView>
  </sheetViews>
  <sheetFormatPr defaultColWidth="9" defaultRowHeight="15.5"/>
  <cols>
    <col min="1" max="1" width="4.23046875" style="2" customWidth="1"/>
    <col min="2" max="2" width="8" style="2" customWidth="1"/>
    <col min="3" max="3" width="5.23046875" style="2" bestFit="1" customWidth="1"/>
    <col min="4" max="4" width="10.23046875" style="3" bestFit="1" customWidth="1"/>
    <col min="5" max="5" width="9.07421875" style="3" bestFit="1" customWidth="1"/>
    <col min="6" max="6" width="9.765625" style="3" bestFit="1" customWidth="1"/>
    <col min="7" max="7" width="8.765625" style="3" bestFit="1" customWidth="1"/>
    <col min="8" max="8" width="10.07421875" style="3" bestFit="1" customWidth="1"/>
    <col min="9" max="9" width="10.23046875" style="3" bestFit="1" customWidth="1"/>
    <col min="10" max="10" width="12.23046875" style="3" customWidth="1"/>
    <col min="11" max="11" width="9.07421875" style="3" customWidth="1"/>
    <col min="12" max="16384" width="9" style="3"/>
  </cols>
  <sheetData>
    <row r="1" spans="1:11" s="1" customFormat="1" ht="18">
      <c r="A1" s="872" t="s">
        <v>600</v>
      </c>
      <c r="B1" s="872"/>
      <c r="C1" s="872"/>
      <c r="D1" s="872"/>
      <c r="E1" s="872"/>
      <c r="F1" s="872"/>
      <c r="G1" s="872"/>
      <c r="H1" s="872"/>
      <c r="I1" s="872"/>
      <c r="J1" s="872"/>
    </row>
    <row r="2" spans="1:11" ht="81" customHeight="1">
      <c r="A2" s="874" t="s">
        <v>894</v>
      </c>
      <c r="B2" s="875"/>
      <c r="C2" s="875"/>
      <c r="D2" s="875"/>
      <c r="E2" s="875"/>
      <c r="F2" s="875"/>
      <c r="G2" s="875"/>
      <c r="H2" s="875"/>
      <c r="I2" s="875"/>
      <c r="J2" s="875"/>
      <c r="K2" s="875"/>
    </row>
    <row r="3" spans="1:11" s="2" customFormat="1" ht="38.25" customHeight="1">
      <c r="A3" s="377" t="s">
        <v>45</v>
      </c>
      <c r="B3" s="377" t="s">
        <v>52</v>
      </c>
      <c r="C3" s="377" t="s">
        <v>48</v>
      </c>
      <c r="D3" s="377" t="s">
        <v>53</v>
      </c>
      <c r="E3" s="873" t="s">
        <v>455</v>
      </c>
      <c r="F3" s="377" t="s">
        <v>22</v>
      </c>
      <c r="G3" s="377" t="s">
        <v>62</v>
      </c>
      <c r="H3" s="377" t="s">
        <v>20</v>
      </c>
      <c r="I3" s="377"/>
      <c r="J3" s="377" t="s">
        <v>54</v>
      </c>
      <c r="K3" s="244" t="s">
        <v>774</v>
      </c>
    </row>
    <row r="4" spans="1:11" s="2" customFormat="1" ht="25" customHeight="1">
      <c r="A4" s="377" t="s">
        <v>18</v>
      </c>
      <c r="B4" s="377"/>
      <c r="C4" s="377" t="s">
        <v>49</v>
      </c>
      <c r="D4" s="560">
        <v>2530000</v>
      </c>
      <c r="E4" s="873"/>
      <c r="F4" s="377" t="s">
        <v>55</v>
      </c>
      <c r="G4" s="377" t="s">
        <v>435</v>
      </c>
      <c r="H4" s="561">
        <v>0.23499999999999999</v>
      </c>
      <c r="I4" s="377" t="s">
        <v>56</v>
      </c>
      <c r="J4" s="377" t="s">
        <v>70</v>
      </c>
      <c r="K4" s="173">
        <v>0.1</v>
      </c>
    </row>
    <row r="5" spans="1:11" s="2" customFormat="1" ht="25" customHeight="1">
      <c r="A5" s="377"/>
      <c r="B5" s="377"/>
      <c r="C5" s="377"/>
      <c r="D5" s="377"/>
      <c r="E5" s="873"/>
      <c r="F5" s="377">
        <f>0.2/5</f>
        <v>0.04</v>
      </c>
      <c r="G5" s="377">
        <v>0.4</v>
      </c>
      <c r="H5" s="377" t="s">
        <v>57</v>
      </c>
      <c r="I5" s="377"/>
      <c r="J5" s="562">
        <v>26</v>
      </c>
      <c r="K5" s="173"/>
    </row>
    <row r="6" spans="1:11">
      <c r="A6" s="376">
        <v>1</v>
      </c>
      <c r="B6" s="132">
        <v>2</v>
      </c>
      <c r="C6" s="132">
        <v>3</v>
      </c>
      <c r="D6" s="132">
        <v>4</v>
      </c>
      <c r="E6" s="132">
        <v>5</v>
      </c>
      <c r="F6" s="132">
        <v>7</v>
      </c>
      <c r="G6" s="132">
        <v>8</v>
      </c>
      <c r="H6" s="132">
        <v>9</v>
      </c>
      <c r="I6" s="132">
        <v>10</v>
      </c>
      <c r="J6" s="132">
        <v>11</v>
      </c>
      <c r="K6" s="296"/>
    </row>
    <row r="7" spans="1:11">
      <c r="A7" s="378" t="s">
        <v>58</v>
      </c>
      <c r="B7" s="295"/>
      <c r="C7" s="379"/>
      <c r="D7" s="380"/>
      <c r="E7" s="380"/>
      <c r="F7" s="380"/>
      <c r="G7" s="380"/>
      <c r="H7" s="380"/>
      <c r="I7" s="380"/>
      <c r="J7" s="380"/>
      <c r="K7" s="296"/>
    </row>
    <row r="8" spans="1:11">
      <c r="A8" s="381" t="s">
        <v>19</v>
      </c>
      <c r="B8" s="381" t="s">
        <v>68</v>
      </c>
      <c r="C8" s="379"/>
      <c r="D8" s="380"/>
      <c r="E8" s="380"/>
      <c r="F8" s="380"/>
      <c r="G8" s="380"/>
      <c r="H8" s="380"/>
      <c r="I8" s="380"/>
      <c r="J8" s="382">
        <f>I8/J$5</f>
        <v>0</v>
      </c>
      <c r="K8" s="296"/>
    </row>
    <row r="9" spans="1:11">
      <c r="A9" s="295"/>
      <c r="B9" s="295">
        <v>1</v>
      </c>
      <c r="C9" s="295">
        <v>2.34</v>
      </c>
      <c r="D9" s="383">
        <f t="shared" ref="D9:D17" si="0">C9*$D$4</f>
        <v>5920200</v>
      </c>
      <c r="E9" s="383">
        <f t="shared" ref="E9:E17" si="1">D9*$E$4</f>
        <v>0</v>
      </c>
      <c r="F9" s="382"/>
      <c r="G9" s="382"/>
      <c r="H9" s="382">
        <f>(D9+G9)*$H$4</f>
        <v>1391247</v>
      </c>
      <c r="I9" s="382">
        <f>SUM(D9:H9)</f>
        <v>7311447</v>
      </c>
      <c r="J9" s="382">
        <f>I9/J$5</f>
        <v>281209.5</v>
      </c>
      <c r="K9" s="382">
        <f>$D$4*$K$4/26</f>
        <v>9730.7692307692305</v>
      </c>
    </row>
    <row r="10" spans="1:11">
      <c r="A10" s="295"/>
      <c r="B10" s="295">
        <v>2</v>
      </c>
      <c r="C10" s="384">
        <f t="shared" ref="C10:C17" si="2">C9+0.33</f>
        <v>2.67</v>
      </c>
      <c r="D10" s="383">
        <f t="shared" si="0"/>
        <v>6755100</v>
      </c>
      <c r="E10" s="383">
        <f t="shared" si="1"/>
        <v>0</v>
      </c>
      <c r="F10" s="382"/>
      <c r="G10" s="382"/>
      <c r="H10" s="382">
        <f t="shared" ref="H10:H59" si="3">(D10+G10)*$H$4</f>
        <v>1587448.5</v>
      </c>
      <c r="I10" s="382">
        <f>SUM(D10:H10)</f>
        <v>8342548.5</v>
      </c>
      <c r="J10" s="382">
        <f t="shared" ref="J10:J17" si="4">I10/J$5</f>
        <v>320867.25</v>
      </c>
      <c r="K10" s="382">
        <f t="shared" ref="K10:K30" si="5">$D$4*$K$4/26</f>
        <v>9730.7692307692305</v>
      </c>
    </row>
    <row r="11" spans="1:11">
      <c r="A11" s="295"/>
      <c r="B11" s="295">
        <v>3</v>
      </c>
      <c r="C11" s="384">
        <f t="shared" si="2"/>
        <v>3</v>
      </c>
      <c r="D11" s="383">
        <f t="shared" si="0"/>
        <v>7590000</v>
      </c>
      <c r="E11" s="383">
        <f t="shared" si="1"/>
        <v>0</v>
      </c>
      <c r="F11" s="382"/>
      <c r="G11" s="382"/>
      <c r="H11" s="382">
        <f t="shared" si="3"/>
        <v>1783650</v>
      </c>
      <c r="I11" s="382">
        <f t="shared" ref="I11:I16" si="6">SUM(D11:H11)</f>
        <v>9373650</v>
      </c>
      <c r="J11" s="382">
        <f t="shared" si="4"/>
        <v>360525</v>
      </c>
      <c r="K11" s="382">
        <f t="shared" si="5"/>
        <v>9730.7692307692305</v>
      </c>
    </row>
    <row r="12" spans="1:11">
      <c r="A12" s="295"/>
      <c r="B12" s="295">
        <v>4</v>
      </c>
      <c r="C12" s="384">
        <f t="shared" si="2"/>
        <v>3.33</v>
      </c>
      <c r="D12" s="383">
        <f t="shared" si="0"/>
        <v>8424900</v>
      </c>
      <c r="E12" s="383">
        <f>D12*$E$4</f>
        <v>0</v>
      </c>
      <c r="F12" s="382"/>
      <c r="G12" s="382"/>
      <c r="H12" s="382">
        <f t="shared" si="3"/>
        <v>1979851.5</v>
      </c>
      <c r="I12" s="382">
        <f t="shared" si="6"/>
        <v>10404751.5</v>
      </c>
      <c r="J12" s="382">
        <f t="shared" si="4"/>
        <v>400182.75</v>
      </c>
      <c r="K12" s="382">
        <f t="shared" si="5"/>
        <v>9730.7692307692305</v>
      </c>
    </row>
    <row r="13" spans="1:11">
      <c r="A13" s="295"/>
      <c r="B13" s="295">
        <v>5</v>
      </c>
      <c r="C13" s="384">
        <f t="shared" si="2"/>
        <v>3.66</v>
      </c>
      <c r="D13" s="383">
        <f t="shared" si="0"/>
        <v>9259800</v>
      </c>
      <c r="E13" s="383">
        <f t="shared" si="1"/>
        <v>0</v>
      </c>
      <c r="F13" s="382"/>
      <c r="G13" s="382"/>
      <c r="H13" s="382">
        <f t="shared" si="3"/>
        <v>2176053</v>
      </c>
      <c r="I13" s="382">
        <f t="shared" si="6"/>
        <v>11435853</v>
      </c>
      <c r="J13" s="382">
        <f t="shared" si="4"/>
        <v>439840.5</v>
      </c>
      <c r="K13" s="382">
        <f t="shared" si="5"/>
        <v>9730.7692307692305</v>
      </c>
    </row>
    <row r="14" spans="1:11">
      <c r="A14" s="295"/>
      <c r="B14" s="295">
        <v>6</v>
      </c>
      <c r="C14" s="384">
        <f t="shared" si="2"/>
        <v>3.99</v>
      </c>
      <c r="D14" s="383">
        <f t="shared" si="0"/>
        <v>10094700</v>
      </c>
      <c r="E14" s="383">
        <f t="shared" si="1"/>
        <v>0</v>
      </c>
      <c r="F14" s="382"/>
      <c r="G14" s="382"/>
      <c r="H14" s="382">
        <f t="shared" si="3"/>
        <v>2372254.5</v>
      </c>
      <c r="I14" s="382">
        <f t="shared" si="6"/>
        <v>12466954.5</v>
      </c>
      <c r="J14" s="382">
        <f t="shared" si="4"/>
        <v>479498.25</v>
      </c>
      <c r="K14" s="382">
        <f t="shared" si="5"/>
        <v>9730.7692307692305</v>
      </c>
    </row>
    <row r="15" spans="1:11">
      <c r="A15" s="295"/>
      <c r="B15" s="295">
        <v>7</v>
      </c>
      <c r="C15" s="384">
        <f t="shared" si="2"/>
        <v>4.32</v>
      </c>
      <c r="D15" s="383">
        <f t="shared" si="0"/>
        <v>10929600</v>
      </c>
      <c r="E15" s="383">
        <f t="shared" si="1"/>
        <v>0</v>
      </c>
      <c r="F15" s="382"/>
      <c r="G15" s="382"/>
      <c r="H15" s="382">
        <f t="shared" si="3"/>
        <v>2568456</v>
      </c>
      <c r="I15" s="382">
        <f t="shared" si="6"/>
        <v>13498056</v>
      </c>
      <c r="J15" s="382">
        <f t="shared" si="4"/>
        <v>519156</v>
      </c>
      <c r="K15" s="382">
        <f t="shared" si="5"/>
        <v>9730.7692307692305</v>
      </c>
    </row>
    <row r="16" spans="1:11">
      <c r="A16" s="295"/>
      <c r="B16" s="295">
        <v>8</v>
      </c>
      <c r="C16" s="384">
        <f t="shared" si="2"/>
        <v>4.6500000000000004</v>
      </c>
      <c r="D16" s="383">
        <f t="shared" si="0"/>
        <v>11764500</v>
      </c>
      <c r="E16" s="383">
        <f t="shared" si="1"/>
        <v>0</v>
      </c>
      <c r="F16" s="382"/>
      <c r="G16" s="382"/>
      <c r="H16" s="382">
        <f t="shared" si="3"/>
        <v>2764657.5</v>
      </c>
      <c r="I16" s="382">
        <f t="shared" si="6"/>
        <v>14529157.5</v>
      </c>
      <c r="J16" s="382">
        <f t="shared" si="4"/>
        <v>558813.75</v>
      </c>
      <c r="K16" s="382">
        <f t="shared" si="5"/>
        <v>9730.7692307692305</v>
      </c>
    </row>
    <row r="17" spans="1:12">
      <c r="A17" s="295"/>
      <c r="B17" s="295">
        <v>9</v>
      </c>
      <c r="C17" s="384">
        <f t="shared" si="2"/>
        <v>4.9800000000000004</v>
      </c>
      <c r="D17" s="383">
        <f t="shared" si="0"/>
        <v>12599400.000000002</v>
      </c>
      <c r="E17" s="383">
        <f t="shared" si="1"/>
        <v>0</v>
      </c>
      <c r="F17" s="382"/>
      <c r="G17" s="382"/>
      <c r="H17" s="382">
        <f>(D17+G17)*$H$4</f>
        <v>2960859.0000000005</v>
      </c>
      <c r="I17" s="382">
        <f>SUM(D17:H17)</f>
        <v>15560259.000000002</v>
      </c>
      <c r="J17" s="382">
        <f t="shared" si="4"/>
        <v>598471.50000000012</v>
      </c>
      <c r="K17" s="382">
        <f t="shared" si="5"/>
        <v>9730.7692307692305</v>
      </c>
    </row>
    <row r="18" spans="1:12">
      <c r="A18" s="381" t="s">
        <v>21</v>
      </c>
      <c r="B18" s="385" t="s">
        <v>63</v>
      </c>
      <c r="C18" s="384"/>
      <c r="D18" s="383"/>
      <c r="E18" s="383"/>
      <c r="F18" s="382"/>
      <c r="G18" s="382"/>
      <c r="H18" s="382"/>
      <c r="I18" s="382"/>
      <c r="J18" s="382"/>
      <c r="K18" s="296"/>
    </row>
    <row r="19" spans="1:12">
      <c r="A19" s="295"/>
      <c r="B19" s="295">
        <v>1</v>
      </c>
      <c r="C19" s="384">
        <v>1.86</v>
      </c>
      <c r="D19" s="383">
        <f t="shared" ref="D19:D30" si="7">C19*$D$4</f>
        <v>4705800</v>
      </c>
      <c r="E19" s="383">
        <f t="shared" ref="E19:E30" si="8">D19*$E$4</f>
        <v>0</v>
      </c>
      <c r="F19" s="382"/>
      <c r="G19" s="382"/>
      <c r="H19" s="382">
        <f t="shared" si="3"/>
        <v>1105863</v>
      </c>
      <c r="I19" s="382">
        <f t="shared" ref="I19:I30" si="9">SUM(D19:H19)</f>
        <v>5811663</v>
      </c>
      <c r="J19" s="382">
        <f>I19/J$5</f>
        <v>223525.5</v>
      </c>
      <c r="K19" s="382">
        <f t="shared" si="5"/>
        <v>9730.7692307692305</v>
      </c>
    </row>
    <row r="20" spans="1:12">
      <c r="A20" s="295"/>
      <c r="B20" s="295">
        <v>2</v>
      </c>
      <c r="C20" s="384">
        <f t="shared" ref="C20:C30" si="10">C19+0.2</f>
        <v>2.06</v>
      </c>
      <c r="D20" s="383">
        <f t="shared" si="7"/>
        <v>5211800</v>
      </c>
      <c r="E20" s="383">
        <f t="shared" si="8"/>
        <v>0</v>
      </c>
      <c r="F20" s="382"/>
      <c r="G20" s="382"/>
      <c r="H20" s="382">
        <f t="shared" si="3"/>
        <v>1224773</v>
      </c>
      <c r="I20" s="382">
        <f t="shared" si="9"/>
        <v>6436573</v>
      </c>
      <c r="J20" s="382">
        <f t="shared" ref="J20:J30" si="11">I20/J$5</f>
        <v>247560.5</v>
      </c>
      <c r="K20" s="382">
        <f t="shared" si="5"/>
        <v>9730.7692307692305</v>
      </c>
      <c r="L20" s="17"/>
    </row>
    <row r="21" spans="1:12">
      <c r="A21" s="295"/>
      <c r="B21" s="295">
        <v>3</v>
      </c>
      <c r="C21" s="384">
        <f t="shared" si="10"/>
        <v>2.2600000000000002</v>
      </c>
      <c r="D21" s="383">
        <f t="shared" si="7"/>
        <v>5717800.0000000009</v>
      </c>
      <c r="E21" s="383">
        <f t="shared" si="8"/>
        <v>0</v>
      </c>
      <c r="F21" s="382"/>
      <c r="G21" s="382"/>
      <c r="H21" s="382">
        <f t="shared" si="3"/>
        <v>1343683.0000000002</v>
      </c>
      <c r="I21" s="382">
        <f t="shared" si="9"/>
        <v>7061483.0000000009</v>
      </c>
      <c r="J21" s="382">
        <f t="shared" si="11"/>
        <v>271595.50000000006</v>
      </c>
      <c r="K21" s="382">
        <f t="shared" si="5"/>
        <v>9730.7692307692305</v>
      </c>
      <c r="L21" s="17"/>
    </row>
    <row r="22" spans="1:12">
      <c r="A22" s="295"/>
      <c r="B22" s="295">
        <v>4</v>
      </c>
      <c r="C22" s="384">
        <f t="shared" si="10"/>
        <v>2.4600000000000004</v>
      </c>
      <c r="D22" s="383">
        <f t="shared" si="7"/>
        <v>6223800.0000000009</v>
      </c>
      <c r="E22" s="383">
        <f t="shared" si="8"/>
        <v>0</v>
      </c>
      <c r="F22" s="382"/>
      <c r="G22" s="382"/>
      <c r="H22" s="382">
        <f t="shared" si="3"/>
        <v>1462593.0000000002</v>
      </c>
      <c r="I22" s="382">
        <f t="shared" si="9"/>
        <v>7686393.0000000009</v>
      </c>
      <c r="J22" s="382">
        <f t="shared" si="11"/>
        <v>295630.50000000006</v>
      </c>
      <c r="K22" s="382">
        <f t="shared" si="5"/>
        <v>9730.7692307692305</v>
      </c>
      <c r="L22" s="17"/>
    </row>
    <row r="23" spans="1:12">
      <c r="A23" s="295"/>
      <c r="B23" s="295">
        <v>5</v>
      </c>
      <c r="C23" s="384">
        <f t="shared" si="10"/>
        <v>2.6600000000000006</v>
      </c>
      <c r="D23" s="383">
        <f t="shared" si="7"/>
        <v>6729800.0000000019</v>
      </c>
      <c r="E23" s="383">
        <f t="shared" si="8"/>
        <v>0</v>
      </c>
      <c r="F23" s="382"/>
      <c r="G23" s="382"/>
      <c r="H23" s="382">
        <f t="shared" si="3"/>
        <v>1581503.0000000002</v>
      </c>
      <c r="I23" s="382">
        <f t="shared" si="9"/>
        <v>8311303.0000000019</v>
      </c>
      <c r="J23" s="382">
        <f t="shared" si="11"/>
        <v>319665.50000000006</v>
      </c>
      <c r="K23" s="382">
        <f t="shared" si="5"/>
        <v>9730.7692307692305</v>
      </c>
      <c r="L23" s="17"/>
    </row>
    <row r="24" spans="1:12">
      <c r="A24" s="295"/>
      <c r="B24" s="295">
        <v>6</v>
      </c>
      <c r="C24" s="384">
        <f t="shared" si="10"/>
        <v>2.8600000000000008</v>
      </c>
      <c r="D24" s="383">
        <f t="shared" si="7"/>
        <v>7235800.0000000019</v>
      </c>
      <c r="E24" s="383">
        <f t="shared" si="8"/>
        <v>0</v>
      </c>
      <c r="F24" s="382"/>
      <c r="G24" s="382"/>
      <c r="H24" s="382">
        <f t="shared" si="3"/>
        <v>1700413.0000000002</v>
      </c>
      <c r="I24" s="382">
        <f t="shared" si="9"/>
        <v>8936213.0000000019</v>
      </c>
      <c r="J24" s="382">
        <f t="shared" si="11"/>
        <v>343700.50000000006</v>
      </c>
      <c r="K24" s="382">
        <f t="shared" si="5"/>
        <v>9730.7692307692305</v>
      </c>
      <c r="L24" s="17"/>
    </row>
    <row r="25" spans="1:12">
      <c r="A25" s="295"/>
      <c r="B25" s="295">
        <v>7</v>
      </c>
      <c r="C25" s="384">
        <f t="shared" si="10"/>
        <v>3.0600000000000009</v>
      </c>
      <c r="D25" s="383">
        <f t="shared" si="7"/>
        <v>7741800.0000000028</v>
      </c>
      <c r="E25" s="383">
        <f t="shared" si="8"/>
        <v>0</v>
      </c>
      <c r="F25" s="382"/>
      <c r="G25" s="382"/>
      <c r="H25" s="382">
        <f t="shared" si="3"/>
        <v>1819323.0000000005</v>
      </c>
      <c r="I25" s="382">
        <f t="shared" si="9"/>
        <v>9561123.0000000037</v>
      </c>
      <c r="J25" s="382">
        <f t="shared" si="11"/>
        <v>367735.50000000012</v>
      </c>
      <c r="K25" s="382">
        <f t="shared" si="5"/>
        <v>9730.7692307692305</v>
      </c>
      <c r="L25" s="17"/>
    </row>
    <row r="26" spans="1:12">
      <c r="A26" s="295"/>
      <c r="B26" s="295">
        <v>8</v>
      </c>
      <c r="C26" s="384">
        <f t="shared" si="10"/>
        <v>3.2600000000000011</v>
      </c>
      <c r="D26" s="383">
        <f t="shared" si="7"/>
        <v>8247800.0000000028</v>
      </c>
      <c r="E26" s="383">
        <f t="shared" si="8"/>
        <v>0</v>
      </c>
      <c r="F26" s="382"/>
      <c r="G26" s="382"/>
      <c r="H26" s="382">
        <f t="shared" si="3"/>
        <v>1938233.0000000005</v>
      </c>
      <c r="I26" s="382">
        <f t="shared" si="9"/>
        <v>10186033.000000004</v>
      </c>
      <c r="J26" s="382">
        <f t="shared" si="11"/>
        <v>391770.50000000012</v>
      </c>
      <c r="K26" s="382">
        <f t="shared" si="5"/>
        <v>9730.7692307692305</v>
      </c>
      <c r="L26" s="17"/>
    </row>
    <row r="27" spans="1:12">
      <c r="A27" s="295"/>
      <c r="B27" s="295">
        <v>9</v>
      </c>
      <c r="C27" s="384">
        <f t="shared" si="10"/>
        <v>3.4600000000000013</v>
      </c>
      <c r="D27" s="383">
        <f t="shared" si="7"/>
        <v>8753800.0000000037</v>
      </c>
      <c r="E27" s="383">
        <f t="shared" si="8"/>
        <v>0</v>
      </c>
      <c r="F27" s="382"/>
      <c r="G27" s="382"/>
      <c r="H27" s="382">
        <f t="shared" si="3"/>
        <v>2057143.0000000007</v>
      </c>
      <c r="I27" s="382">
        <f t="shared" si="9"/>
        <v>10810943.000000004</v>
      </c>
      <c r="J27" s="382">
        <f t="shared" si="11"/>
        <v>415805.50000000012</v>
      </c>
      <c r="K27" s="382">
        <f t="shared" si="5"/>
        <v>9730.7692307692305</v>
      </c>
    </row>
    <row r="28" spans="1:12">
      <c r="A28" s="295"/>
      <c r="B28" s="295">
        <v>10</v>
      </c>
      <c r="C28" s="384">
        <f t="shared" si="10"/>
        <v>3.6600000000000015</v>
      </c>
      <c r="D28" s="383">
        <f t="shared" si="7"/>
        <v>9259800.0000000037</v>
      </c>
      <c r="E28" s="383">
        <f t="shared" si="8"/>
        <v>0</v>
      </c>
      <c r="F28" s="382"/>
      <c r="G28" s="382"/>
      <c r="H28" s="382">
        <f t="shared" si="3"/>
        <v>2176053.0000000009</v>
      </c>
      <c r="I28" s="382">
        <f t="shared" si="9"/>
        <v>11435853.000000004</v>
      </c>
      <c r="J28" s="382">
        <f t="shared" si="11"/>
        <v>439840.50000000012</v>
      </c>
      <c r="K28" s="382">
        <f t="shared" si="5"/>
        <v>9730.7692307692305</v>
      </c>
    </row>
    <row r="29" spans="1:12">
      <c r="A29" s="295"/>
      <c r="B29" s="295">
        <v>11</v>
      </c>
      <c r="C29" s="384">
        <f t="shared" si="10"/>
        <v>3.8600000000000017</v>
      </c>
      <c r="D29" s="383">
        <f t="shared" si="7"/>
        <v>9765800.0000000037</v>
      </c>
      <c r="E29" s="383">
        <f t="shared" si="8"/>
        <v>0</v>
      </c>
      <c r="F29" s="382"/>
      <c r="G29" s="382"/>
      <c r="H29" s="382">
        <f t="shared" si="3"/>
        <v>2294963.0000000009</v>
      </c>
      <c r="I29" s="382">
        <f>SUM(D29:H29)</f>
        <v>12060763.000000004</v>
      </c>
      <c r="J29" s="382">
        <f t="shared" si="11"/>
        <v>463875.50000000012</v>
      </c>
      <c r="K29" s="382">
        <f t="shared" si="5"/>
        <v>9730.7692307692305</v>
      </c>
    </row>
    <row r="30" spans="1:12">
      <c r="A30" s="295"/>
      <c r="B30" s="295">
        <v>12</v>
      </c>
      <c r="C30" s="384">
        <f t="shared" si="10"/>
        <v>4.0600000000000014</v>
      </c>
      <c r="D30" s="383">
        <f t="shared" si="7"/>
        <v>10271800.000000004</v>
      </c>
      <c r="E30" s="383">
        <f t="shared" si="8"/>
        <v>0</v>
      </c>
      <c r="F30" s="382"/>
      <c r="G30" s="382"/>
      <c r="H30" s="382">
        <f t="shared" si="3"/>
        <v>2413873.0000000009</v>
      </c>
      <c r="I30" s="382">
        <f t="shared" si="9"/>
        <v>12685673.000000004</v>
      </c>
      <c r="J30" s="382">
        <f t="shared" si="11"/>
        <v>487910.50000000012</v>
      </c>
      <c r="K30" s="382">
        <f t="shared" si="5"/>
        <v>9730.7692307692305</v>
      </c>
    </row>
    <row r="31" spans="1:12" hidden="1">
      <c r="A31" s="381" t="s">
        <v>137</v>
      </c>
      <c r="B31" s="385" t="s">
        <v>94</v>
      </c>
      <c r="C31" s="384"/>
      <c r="D31" s="383"/>
      <c r="E31" s="383"/>
      <c r="F31" s="382"/>
      <c r="G31" s="382"/>
      <c r="H31" s="382"/>
      <c r="I31" s="382"/>
      <c r="J31" s="382">
        <f t="shared" ref="J31:J35" si="12">I31/J$5+K31</f>
        <v>0</v>
      </c>
      <c r="K31" s="296"/>
      <c r="L31" s="17"/>
    </row>
    <row r="32" spans="1:12" hidden="1">
      <c r="A32" s="295"/>
      <c r="B32" s="295">
        <v>1</v>
      </c>
      <c r="C32" s="384">
        <v>2.1800000000000002</v>
      </c>
      <c r="D32" s="383">
        <f>C32*$D$4</f>
        <v>5515400</v>
      </c>
      <c r="E32" s="383">
        <f>D32*$E$4</f>
        <v>0</v>
      </c>
      <c r="F32" s="382">
        <f>$D$4*$F$5</f>
        <v>101200</v>
      </c>
      <c r="G32" s="382">
        <f>$D$4*$G$5</f>
        <v>1012000</v>
      </c>
      <c r="H32" s="382">
        <f t="shared" si="3"/>
        <v>1533939</v>
      </c>
      <c r="I32" s="382">
        <f>SUM(D32:H32)</f>
        <v>8162539</v>
      </c>
      <c r="J32" s="382">
        <f t="shared" si="12"/>
        <v>313943.80769230769</v>
      </c>
      <c r="K32" s="296"/>
    </row>
    <row r="33" spans="1:11" hidden="1">
      <c r="A33" s="295"/>
      <c r="B33" s="295">
        <v>2</v>
      </c>
      <c r="C33" s="384">
        <v>2.57</v>
      </c>
      <c r="D33" s="383">
        <f>C33*$D$4</f>
        <v>6502100</v>
      </c>
      <c r="E33" s="383">
        <f>D33*$E$4</f>
        <v>0</v>
      </c>
      <c r="F33" s="382">
        <f>$D$4*$F$5</f>
        <v>101200</v>
      </c>
      <c r="G33" s="382">
        <f>$D$4*$G$5</f>
        <v>1012000</v>
      </c>
      <c r="H33" s="382">
        <f t="shared" si="3"/>
        <v>1765813.5</v>
      </c>
      <c r="I33" s="382">
        <f>SUM(D33:H33)</f>
        <v>9381113.5</v>
      </c>
      <c r="J33" s="382">
        <f t="shared" si="12"/>
        <v>360812.05769230769</v>
      </c>
      <c r="K33" s="296"/>
    </row>
    <row r="34" spans="1:11" hidden="1">
      <c r="A34" s="295"/>
      <c r="B34" s="295">
        <v>3</v>
      </c>
      <c r="C34" s="384">
        <v>3.05</v>
      </c>
      <c r="D34" s="383">
        <f>C34*$D$4</f>
        <v>7716500</v>
      </c>
      <c r="E34" s="383">
        <f>D34*$E$4</f>
        <v>0</v>
      </c>
      <c r="F34" s="382">
        <f>$D$4*$F$5</f>
        <v>101200</v>
      </c>
      <c r="G34" s="382">
        <f>$D$4*$G$5</f>
        <v>1012000</v>
      </c>
      <c r="H34" s="382">
        <f t="shared" si="3"/>
        <v>2051197.5</v>
      </c>
      <c r="I34" s="382">
        <f>SUM(D34:H34)</f>
        <v>10880897.5</v>
      </c>
      <c r="J34" s="382">
        <f t="shared" si="12"/>
        <v>418496.05769230769</v>
      </c>
      <c r="K34" s="296"/>
    </row>
    <row r="35" spans="1:11" hidden="1">
      <c r="A35" s="295"/>
      <c r="B35" s="295">
        <v>4</v>
      </c>
      <c r="C35" s="384">
        <v>3.5</v>
      </c>
      <c r="D35" s="383">
        <f>C35*$D$4</f>
        <v>8855000</v>
      </c>
      <c r="E35" s="383">
        <f>D35*$E$4</f>
        <v>0</v>
      </c>
      <c r="F35" s="382">
        <f>$D$4*$F$5</f>
        <v>101200</v>
      </c>
      <c r="G35" s="382">
        <f>$D$4*$G$5</f>
        <v>1012000</v>
      </c>
      <c r="H35" s="382">
        <f t="shared" si="3"/>
        <v>2318745</v>
      </c>
      <c r="I35" s="382">
        <f>SUM(D35:H35)</f>
        <v>12286945</v>
      </c>
      <c r="J35" s="382">
        <f t="shared" si="12"/>
        <v>472574.80769230769</v>
      </c>
      <c r="K35" s="296"/>
    </row>
    <row r="36" spans="1:11">
      <c r="A36" s="378" t="s">
        <v>59</v>
      </c>
      <c r="B36" s="295"/>
      <c r="C36" s="379"/>
      <c r="D36" s="380"/>
      <c r="E36" s="380"/>
      <c r="F36" s="380"/>
      <c r="G36" s="380"/>
      <c r="H36" s="382"/>
      <c r="I36" s="382"/>
      <c r="J36" s="382"/>
      <c r="K36" s="296"/>
    </row>
    <row r="37" spans="1:11">
      <c r="A37" s="381" t="s">
        <v>19</v>
      </c>
      <c r="B37" s="381" t="s">
        <v>68</v>
      </c>
      <c r="C37" s="379"/>
      <c r="D37" s="380"/>
      <c r="E37" s="380"/>
      <c r="F37" s="380"/>
      <c r="G37" s="380"/>
      <c r="H37" s="382"/>
      <c r="I37" s="380"/>
      <c r="J37" s="382"/>
      <c r="K37" s="296"/>
    </row>
    <row r="38" spans="1:11">
      <c r="A38" s="295"/>
      <c r="B38" s="295">
        <v>1</v>
      </c>
      <c r="C38" s="295">
        <v>2.34</v>
      </c>
      <c r="D38" s="383">
        <f t="shared" ref="D38:D43" si="13">C38*$D$4</f>
        <v>5920200</v>
      </c>
      <c r="E38" s="383">
        <f t="shared" ref="E38:E43" si="14">D38*$E$4</f>
        <v>0</v>
      </c>
      <c r="F38" s="382"/>
      <c r="G38" s="382"/>
      <c r="H38" s="382">
        <f t="shared" si="3"/>
        <v>1391247</v>
      </c>
      <c r="I38" s="382">
        <f t="shared" ref="I38:I43" si="15">SUM(D38:H38)</f>
        <v>7311447</v>
      </c>
      <c r="J38" s="382">
        <f>I38/J$5</f>
        <v>281209.5</v>
      </c>
      <c r="K38" s="382">
        <f t="shared" ref="K38:K46" si="16">$D$4*$K$4/26</f>
        <v>9730.7692307692305</v>
      </c>
    </row>
    <row r="39" spans="1:11">
      <c r="A39" s="295"/>
      <c r="B39" s="295">
        <v>2</v>
      </c>
      <c r="C39" s="384">
        <f t="shared" ref="C39:C46" si="17">C38+0.33</f>
        <v>2.67</v>
      </c>
      <c r="D39" s="383">
        <f t="shared" si="13"/>
        <v>6755100</v>
      </c>
      <c r="E39" s="383">
        <f t="shared" si="14"/>
        <v>0</v>
      </c>
      <c r="F39" s="382"/>
      <c r="G39" s="382"/>
      <c r="H39" s="382">
        <f t="shared" si="3"/>
        <v>1587448.5</v>
      </c>
      <c r="I39" s="382">
        <f t="shared" si="15"/>
        <v>8342548.5</v>
      </c>
      <c r="J39" s="382">
        <f t="shared" ref="J39:J46" si="18">I39/J$5</f>
        <v>320867.25</v>
      </c>
      <c r="K39" s="382">
        <f t="shared" si="16"/>
        <v>9730.7692307692305</v>
      </c>
    </row>
    <row r="40" spans="1:11">
      <c r="A40" s="295"/>
      <c r="B40" s="295">
        <v>3</v>
      </c>
      <c r="C40" s="384">
        <f t="shared" si="17"/>
        <v>3</v>
      </c>
      <c r="D40" s="383">
        <f t="shared" si="13"/>
        <v>7590000</v>
      </c>
      <c r="E40" s="383">
        <f t="shared" si="14"/>
        <v>0</v>
      </c>
      <c r="F40" s="382"/>
      <c r="G40" s="382"/>
      <c r="H40" s="382">
        <f t="shared" si="3"/>
        <v>1783650</v>
      </c>
      <c r="I40" s="382">
        <f t="shared" si="15"/>
        <v>9373650</v>
      </c>
      <c r="J40" s="382">
        <f t="shared" si="18"/>
        <v>360525</v>
      </c>
      <c r="K40" s="382">
        <f t="shared" si="16"/>
        <v>9730.7692307692305</v>
      </c>
    </row>
    <row r="41" spans="1:11">
      <c r="A41" s="295"/>
      <c r="B41" s="295">
        <v>4</v>
      </c>
      <c r="C41" s="384">
        <f t="shared" si="17"/>
        <v>3.33</v>
      </c>
      <c r="D41" s="383">
        <f t="shared" si="13"/>
        <v>8424900</v>
      </c>
      <c r="E41" s="383">
        <f t="shared" si="14"/>
        <v>0</v>
      </c>
      <c r="F41" s="382"/>
      <c r="G41" s="382"/>
      <c r="H41" s="382">
        <f t="shared" si="3"/>
        <v>1979851.5</v>
      </c>
      <c r="I41" s="382">
        <f t="shared" si="15"/>
        <v>10404751.5</v>
      </c>
      <c r="J41" s="382">
        <f t="shared" si="18"/>
        <v>400182.75</v>
      </c>
      <c r="K41" s="382">
        <f t="shared" si="16"/>
        <v>9730.7692307692305</v>
      </c>
    </row>
    <row r="42" spans="1:11">
      <c r="A42" s="295"/>
      <c r="B42" s="295">
        <v>5</v>
      </c>
      <c r="C42" s="384">
        <f t="shared" si="17"/>
        <v>3.66</v>
      </c>
      <c r="D42" s="383">
        <f t="shared" si="13"/>
        <v>9259800</v>
      </c>
      <c r="E42" s="383">
        <f t="shared" si="14"/>
        <v>0</v>
      </c>
      <c r="F42" s="382"/>
      <c r="G42" s="382"/>
      <c r="H42" s="382">
        <f t="shared" si="3"/>
        <v>2176053</v>
      </c>
      <c r="I42" s="382">
        <f t="shared" si="15"/>
        <v>11435853</v>
      </c>
      <c r="J42" s="382">
        <f t="shared" si="18"/>
        <v>439840.5</v>
      </c>
      <c r="K42" s="382">
        <f t="shared" si="16"/>
        <v>9730.7692307692305</v>
      </c>
    </row>
    <row r="43" spans="1:11">
      <c r="A43" s="295"/>
      <c r="B43" s="295">
        <v>6</v>
      </c>
      <c r="C43" s="384">
        <f t="shared" si="17"/>
        <v>3.99</v>
      </c>
      <c r="D43" s="383">
        <f t="shared" si="13"/>
        <v>10094700</v>
      </c>
      <c r="E43" s="383">
        <f t="shared" si="14"/>
        <v>0</v>
      </c>
      <c r="F43" s="382"/>
      <c r="G43" s="382"/>
      <c r="H43" s="382">
        <f t="shared" si="3"/>
        <v>2372254.5</v>
      </c>
      <c r="I43" s="382">
        <f t="shared" si="15"/>
        <v>12466954.5</v>
      </c>
      <c r="J43" s="382">
        <f t="shared" si="18"/>
        <v>479498.25</v>
      </c>
      <c r="K43" s="382">
        <f t="shared" si="16"/>
        <v>9730.7692307692305</v>
      </c>
    </row>
    <row r="44" spans="1:11">
      <c r="A44" s="295"/>
      <c r="B44" s="295">
        <v>7</v>
      </c>
      <c r="C44" s="384">
        <f t="shared" si="17"/>
        <v>4.32</v>
      </c>
      <c r="D44" s="383">
        <f>C44*$D$4</f>
        <v>10929600</v>
      </c>
      <c r="E44" s="383">
        <f>D44*$E$4</f>
        <v>0</v>
      </c>
      <c r="F44" s="382"/>
      <c r="G44" s="382"/>
      <c r="H44" s="382">
        <f t="shared" si="3"/>
        <v>2568456</v>
      </c>
      <c r="I44" s="382">
        <f>SUM(D44:H44)</f>
        <v>13498056</v>
      </c>
      <c r="J44" s="382">
        <f t="shared" si="18"/>
        <v>519156</v>
      </c>
      <c r="K44" s="382">
        <f t="shared" si="16"/>
        <v>9730.7692307692305</v>
      </c>
    </row>
    <row r="45" spans="1:11">
      <c r="A45" s="295"/>
      <c r="B45" s="295">
        <v>8</v>
      </c>
      <c r="C45" s="384">
        <f t="shared" si="17"/>
        <v>4.6500000000000004</v>
      </c>
      <c r="D45" s="383">
        <f>C45*$D$4</f>
        <v>11764500</v>
      </c>
      <c r="E45" s="383">
        <f>D45*$E$4</f>
        <v>0</v>
      </c>
      <c r="F45" s="382"/>
      <c r="G45" s="382"/>
      <c r="H45" s="382">
        <f t="shared" si="3"/>
        <v>2764657.5</v>
      </c>
      <c r="I45" s="382">
        <f>SUM(D45:H45)</f>
        <v>14529157.5</v>
      </c>
      <c r="J45" s="382">
        <f t="shared" si="18"/>
        <v>558813.75</v>
      </c>
      <c r="K45" s="382">
        <f t="shared" si="16"/>
        <v>9730.7692307692305</v>
      </c>
    </row>
    <row r="46" spans="1:11">
      <c r="A46" s="295"/>
      <c r="B46" s="295">
        <v>9</v>
      </c>
      <c r="C46" s="384">
        <f t="shared" si="17"/>
        <v>4.9800000000000004</v>
      </c>
      <c r="D46" s="383">
        <f>C46*$D$4</f>
        <v>12599400.000000002</v>
      </c>
      <c r="E46" s="383">
        <f>D46*$E$4</f>
        <v>0</v>
      </c>
      <c r="F46" s="382"/>
      <c r="G46" s="382"/>
      <c r="H46" s="382">
        <f t="shared" si="3"/>
        <v>2960859.0000000005</v>
      </c>
      <c r="I46" s="382">
        <f>SUM(D46:H46)</f>
        <v>15560259.000000002</v>
      </c>
      <c r="J46" s="382">
        <f t="shared" si="18"/>
        <v>598471.50000000012</v>
      </c>
      <c r="K46" s="382">
        <f t="shared" si="16"/>
        <v>9730.7692307692305</v>
      </c>
    </row>
    <row r="47" spans="1:11">
      <c r="A47" s="381" t="s">
        <v>21</v>
      </c>
      <c r="B47" s="385" t="s">
        <v>63</v>
      </c>
      <c r="C47" s="384"/>
      <c r="D47" s="383"/>
      <c r="E47" s="383"/>
      <c r="F47" s="382"/>
      <c r="G47" s="382"/>
      <c r="H47" s="382"/>
      <c r="I47" s="382"/>
      <c r="J47" s="382"/>
      <c r="K47" s="296"/>
    </row>
    <row r="48" spans="1:11">
      <c r="A48" s="295"/>
      <c r="B48" s="295">
        <v>1</v>
      </c>
      <c r="C48" s="384">
        <v>1.86</v>
      </c>
      <c r="D48" s="383">
        <f>C48*$D$4</f>
        <v>4705800</v>
      </c>
      <c r="E48" s="383">
        <f>D48*$E$4</f>
        <v>0</v>
      </c>
      <c r="F48" s="382"/>
      <c r="G48" s="382"/>
      <c r="H48" s="382">
        <f t="shared" si="3"/>
        <v>1105863</v>
      </c>
      <c r="I48" s="382">
        <f>SUM(D48:H48)</f>
        <v>5811663</v>
      </c>
      <c r="J48" s="382">
        <f>I48/J$5</f>
        <v>223525.5</v>
      </c>
      <c r="K48" s="382">
        <f t="shared" ref="K48:K59" si="19">$D$4*$K$4/26</f>
        <v>9730.7692307692305</v>
      </c>
    </row>
    <row r="49" spans="1:11">
      <c r="A49" s="295"/>
      <c r="B49" s="295">
        <v>2</v>
      </c>
      <c r="C49" s="384">
        <f t="shared" ref="C49:C59" si="20">C48+0.2</f>
        <v>2.06</v>
      </c>
      <c r="D49" s="383">
        <f>C49*$D$4</f>
        <v>5211800</v>
      </c>
      <c r="E49" s="383">
        <f>D49*$E$4</f>
        <v>0</v>
      </c>
      <c r="F49" s="382"/>
      <c r="G49" s="382"/>
      <c r="H49" s="382">
        <f t="shared" si="3"/>
        <v>1224773</v>
      </c>
      <c r="I49" s="382">
        <f>SUM(D49:H49)</f>
        <v>6436573</v>
      </c>
      <c r="J49" s="382">
        <f t="shared" ref="J49:J59" si="21">I49/J$5</f>
        <v>247560.5</v>
      </c>
      <c r="K49" s="382">
        <f t="shared" si="19"/>
        <v>9730.7692307692305</v>
      </c>
    </row>
    <row r="50" spans="1:11">
      <c r="A50" s="295"/>
      <c r="B50" s="295">
        <v>3</v>
      </c>
      <c r="C50" s="384">
        <f t="shared" si="20"/>
        <v>2.2600000000000002</v>
      </c>
      <c r="D50" s="383">
        <f>C50*$D$4</f>
        <v>5717800.0000000009</v>
      </c>
      <c r="E50" s="383">
        <f>D50*$E$4</f>
        <v>0</v>
      </c>
      <c r="F50" s="382"/>
      <c r="G50" s="382"/>
      <c r="H50" s="382">
        <f t="shared" si="3"/>
        <v>1343683.0000000002</v>
      </c>
      <c r="I50" s="382">
        <f>SUM(D50:H50)</f>
        <v>7061483.0000000009</v>
      </c>
      <c r="J50" s="382">
        <f t="shared" si="21"/>
        <v>271595.50000000006</v>
      </c>
      <c r="K50" s="382">
        <f t="shared" si="19"/>
        <v>9730.7692307692305</v>
      </c>
    </row>
    <row r="51" spans="1:11">
      <c r="A51" s="295"/>
      <c r="B51" s="295">
        <v>4</v>
      </c>
      <c r="C51" s="384">
        <f t="shared" si="20"/>
        <v>2.4600000000000004</v>
      </c>
      <c r="D51" s="383">
        <f t="shared" ref="D51:D57" si="22">C51*$D$4</f>
        <v>6223800.0000000009</v>
      </c>
      <c r="E51" s="383">
        <f t="shared" ref="E51:E57" si="23">D51*$E$4</f>
        <v>0</v>
      </c>
      <c r="F51" s="382"/>
      <c r="G51" s="382"/>
      <c r="H51" s="382">
        <f t="shared" si="3"/>
        <v>1462593.0000000002</v>
      </c>
      <c r="I51" s="382">
        <f t="shared" ref="I51:I57" si="24">SUM(D51:H51)</f>
        <v>7686393.0000000009</v>
      </c>
      <c r="J51" s="382">
        <f t="shared" si="21"/>
        <v>295630.50000000006</v>
      </c>
      <c r="K51" s="382">
        <f t="shared" si="19"/>
        <v>9730.7692307692305</v>
      </c>
    </row>
    <row r="52" spans="1:11">
      <c r="A52" s="295"/>
      <c r="B52" s="295">
        <v>5</v>
      </c>
      <c r="C52" s="384">
        <f t="shared" si="20"/>
        <v>2.6600000000000006</v>
      </c>
      <c r="D52" s="383">
        <f t="shared" si="22"/>
        <v>6729800.0000000019</v>
      </c>
      <c r="E52" s="383">
        <f t="shared" si="23"/>
        <v>0</v>
      </c>
      <c r="F52" s="382"/>
      <c r="G52" s="382"/>
      <c r="H52" s="382">
        <f t="shared" si="3"/>
        <v>1581503.0000000002</v>
      </c>
      <c r="I52" s="382">
        <f t="shared" si="24"/>
        <v>8311303.0000000019</v>
      </c>
      <c r="J52" s="382">
        <f t="shared" si="21"/>
        <v>319665.50000000006</v>
      </c>
      <c r="K52" s="382">
        <f t="shared" si="19"/>
        <v>9730.7692307692305</v>
      </c>
    </row>
    <row r="53" spans="1:11">
      <c r="A53" s="295"/>
      <c r="B53" s="295">
        <v>6</v>
      </c>
      <c r="C53" s="384">
        <f t="shared" si="20"/>
        <v>2.8600000000000008</v>
      </c>
      <c r="D53" s="383">
        <f t="shared" si="22"/>
        <v>7235800.0000000019</v>
      </c>
      <c r="E53" s="383">
        <f t="shared" si="23"/>
        <v>0</v>
      </c>
      <c r="F53" s="382"/>
      <c r="G53" s="382"/>
      <c r="H53" s="382">
        <f t="shared" si="3"/>
        <v>1700413.0000000002</v>
      </c>
      <c r="I53" s="382">
        <f t="shared" si="24"/>
        <v>8936213.0000000019</v>
      </c>
      <c r="J53" s="382">
        <f t="shared" si="21"/>
        <v>343700.50000000006</v>
      </c>
      <c r="K53" s="382">
        <f t="shared" si="19"/>
        <v>9730.7692307692305</v>
      </c>
    </row>
    <row r="54" spans="1:11">
      <c r="A54" s="295"/>
      <c r="B54" s="295">
        <v>7</v>
      </c>
      <c r="C54" s="384">
        <f t="shared" si="20"/>
        <v>3.0600000000000009</v>
      </c>
      <c r="D54" s="383">
        <f t="shared" si="22"/>
        <v>7741800.0000000028</v>
      </c>
      <c r="E54" s="383">
        <f t="shared" si="23"/>
        <v>0</v>
      </c>
      <c r="F54" s="382"/>
      <c r="G54" s="382"/>
      <c r="H54" s="382">
        <f t="shared" si="3"/>
        <v>1819323.0000000005</v>
      </c>
      <c r="I54" s="382">
        <f t="shared" si="24"/>
        <v>9561123.0000000037</v>
      </c>
      <c r="J54" s="382">
        <f t="shared" si="21"/>
        <v>367735.50000000012</v>
      </c>
      <c r="K54" s="382">
        <f t="shared" si="19"/>
        <v>9730.7692307692305</v>
      </c>
    </row>
    <row r="55" spans="1:11">
      <c r="A55" s="295"/>
      <c r="B55" s="295">
        <v>8</v>
      </c>
      <c r="C55" s="384">
        <f t="shared" si="20"/>
        <v>3.2600000000000011</v>
      </c>
      <c r="D55" s="383">
        <f t="shared" si="22"/>
        <v>8247800.0000000028</v>
      </c>
      <c r="E55" s="383">
        <f t="shared" si="23"/>
        <v>0</v>
      </c>
      <c r="F55" s="382"/>
      <c r="G55" s="382"/>
      <c r="H55" s="382">
        <f t="shared" si="3"/>
        <v>1938233.0000000005</v>
      </c>
      <c r="I55" s="382">
        <f t="shared" si="24"/>
        <v>10186033.000000004</v>
      </c>
      <c r="J55" s="382">
        <f t="shared" si="21"/>
        <v>391770.50000000012</v>
      </c>
      <c r="K55" s="382">
        <f t="shared" si="19"/>
        <v>9730.7692307692305</v>
      </c>
    </row>
    <row r="56" spans="1:11">
      <c r="A56" s="295"/>
      <c r="B56" s="295">
        <v>9</v>
      </c>
      <c r="C56" s="384">
        <f t="shared" si="20"/>
        <v>3.4600000000000013</v>
      </c>
      <c r="D56" s="383">
        <f t="shared" si="22"/>
        <v>8753800.0000000037</v>
      </c>
      <c r="E56" s="383">
        <f t="shared" si="23"/>
        <v>0</v>
      </c>
      <c r="F56" s="382"/>
      <c r="G56" s="382"/>
      <c r="H56" s="382">
        <f t="shared" si="3"/>
        <v>2057143.0000000007</v>
      </c>
      <c r="I56" s="382">
        <f t="shared" si="24"/>
        <v>10810943.000000004</v>
      </c>
      <c r="J56" s="382">
        <f t="shared" si="21"/>
        <v>415805.50000000012</v>
      </c>
      <c r="K56" s="382">
        <f t="shared" si="19"/>
        <v>9730.7692307692305</v>
      </c>
    </row>
    <row r="57" spans="1:11">
      <c r="A57" s="295"/>
      <c r="B57" s="295">
        <v>10</v>
      </c>
      <c r="C57" s="384">
        <f t="shared" si="20"/>
        <v>3.6600000000000015</v>
      </c>
      <c r="D57" s="383">
        <f t="shared" si="22"/>
        <v>9259800.0000000037</v>
      </c>
      <c r="E57" s="383">
        <f t="shared" si="23"/>
        <v>0</v>
      </c>
      <c r="F57" s="382"/>
      <c r="G57" s="382"/>
      <c r="H57" s="382">
        <f t="shared" si="3"/>
        <v>2176053.0000000009</v>
      </c>
      <c r="I57" s="382">
        <f t="shared" si="24"/>
        <v>11435853.000000004</v>
      </c>
      <c r="J57" s="382">
        <f t="shared" si="21"/>
        <v>439840.50000000012</v>
      </c>
      <c r="K57" s="382">
        <f t="shared" si="19"/>
        <v>9730.7692307692305</v>
      </c>
    </row>
    <row r="58" spans="1:11">
      <c r="A58" s="295"/>
      <c r="B58" s="295">
        <v>11</v>
      </c>
      <c r="C58" s="384">
        <f t="shared" si="20"/>
        <v>3.8600000000000017</v>
      </c>
      <c r="D58" s="383">
        <f>C58*$D$4</f>
        <v>9765800.0000000037</v>
      </c>
      <c r="E58" s="383">
        <f>D58*$E$4</f>
        <v>0</v>
      </c>
      <c r="F58" s="382"/>
      <c r="G58" s="382"/>
      <c r="H58" s="382">
        <f t="shared" si="3"/>
        <v>2294963.0000000009</v>
      </c>
      <c r="I58" s="382">
        <f>SUM(D58:H58)</f>
        <v>12060763.000000004</v>
      </c>
      <c r="J58" s="382">
        <f t="shared" si="21"/>
        <v>463875.50000000012</v>
      </c>
      <c r="K58" s="382">
        <f t="shared" si="19"/>
        <v>9730.7692307692305</v>
      </c>
    </row>
    <row r="59" spans="1:11">
      <c r="A59" s="295"/>
      <c r="B59" s="295">
        <v>12</v>
      </c>
      <c r="C59" s="384">
        <f t="shared" si="20"/>
        <v>4.0600000000000014</v>
      </c>
      <c r="D59" s="383">
        <f>C59*$D$4</f>
        <v>10271800.000000004</v>
      </c>
      <c r="E59" s="383">
        <f>D59*$E$4</f>
        <v>0</v>
      </c>
      <c r="F59" s="382"/>
      <c r="G59" s="382"/>
      <c r="H59" s="382">
        <f t="shared" si="3"/>
        <v>2413873.0000000009</v>
      </c>
      <c r="I59" s="382">
        <f>SUM(D59:H59)</f>
        <v>12685673.000000004</v>
      </c>
      <c r="J59" s="382">
        <f t="shared" si="21"/>
        <v>487910.50000000012</v>
      </c>
      <c r="K59" s="382">
        <f t="shared" si="19"/>
        <v>9730.7692307692305</v>
      </c>
    </row>
    <row r="60" spans="1:11">
      <c r="A60" s="386" t="s">
        <v>845</v>
      </c>
      <c r="B60" s="295"/>
      <c r="C60" s="384"/>
      <c r="D60" s="383"/>
      <c r="E60" s="383"/>
      <c r="F60" s="382"/>
      <c r="G60" s="387"/>
      <c r="H60" s="382"/>
      <c r="I60" s="382"/>
      <c r="J60" s="382"/>
      <c r="K60" s="296"/>
    </row>
    <row r="61" spans="1:11">
      <c r="A61" s="378"/>
      <c r="B61" s="385" t="s">
        <v>60</v>
      </c>
      <c r="C61" s="384"/>
      <c r="D61" s="383"/>
      <c r="E61" s="383"/>
      <c r="F61" s="382"/>
      <c r="G61" s="382"/>
      <c r="H61" s="382"/>
      <c r="I61" s="382"/>
      <c r="J61" s="382"/>
      <c r="K61" s="296"/>
    </row>
    <row r="62" spans="1:11">
      <c r="A62" s="295">
        <v>1</v>
      </c>
      <c r="B62" s="871" t="s">
        <v>95</v>
      </c>
      <c r="C62" s="871"/>
      <c r="D62" s="383">
        <f>$D$4*$K$4</f>
        <v>253000</v>
      </c>
      <c r="E62" s="383">
        <f>D62*E$4</f>
        <v>0</v>
      </c>
      <c r="F62" s="382"/>
      <c r="G62" s="388"/>
      <c r="H62" s="382"/>
      <c r="I62" s="382">
        <f>(D62++E62+H62)</f>
        <v>253000</v>
      </c>
      <c r="J62" s="382">
        <f>I62/J$5</f>
        <v>9730.7692307692305</v>
      </c>
      <c r="K62" s="296"/>
    </row>
    <row r="63" spans="1:11">
      <c r="A63" s="295">
        <v>2</v>
      </c>
      <c r="B63" s="871" t="s">
        <v>64</v>
      </c>
      <c r="C63" s="871"/>
      <c r="D63" s="383">
        <f t="shared" ref="D63:D68" si="25">$D$4*$K$4</f>
        <v>253000</v>
      </c>
      <c r="E63" s="383">
        <f>D63*E$4</f>
        <v>0</v>
      </c>
      <c r="F63" s="382"/>
      <c r="G63" s="388"/>
      <c r="H63" s="382"/>
      <c r="I63" s="382">
        <f t="shared" ref="I63:I68" si="26">(D63++E63+H63)</f>
        <v>253000</v>
      </c>
      <c r="J63" s="382">
        <f>I63/J$5</f>
        <v>9730.7692307692305</v>
      </c>
      <c r="K63" s="296"/>
    </row>
    <row r="64" spans="1:11">
      <c r="A64" s="295">
        <v>3</v>
      </c>
      <c r="B64" s="871" t="s">
        <v>65</v>
      </c>
      <c r="C64" s="871"/>
      <c r="D64" s="383">
        <f t="shared" si="25"/>
        <v>253000</v>
      </c>
      <c r="E64" s="383">
        <f>D64*E$4</f>
        <v>0</v>
      </c>
      <c r="F64" s="382"/>
      <c r="G64" s="388"/>
      <c r="H64" s="382"/>
      <c r="I64" s="382">
        <f t="shared" si="26"/>
        <v>253000</v>
      </c>
      <c r="J64" s="382">
        <f>I64/J$5</f>
        <v>9730.7692307692305</v>
      </c>
      <c r="K64" s="296"/>
    </row>
    <row r="65" spans="1:11">
      <c r="A65" s="378"/>
      <c r="B65" s="385" t="s">
        <v>61</v>
      </c>
      <c r="C65" s="384"/>
      <c r="D65" s="383"/>
      <c r="E65" s="383"/>
      <c r="F65" s="382"/>
      <c r="G65" s="389"/>
      <c r="H65" s="382"/>
      <c r="I65" s="382">
        <f t="shared" si="26"/>
        <v>0</v>
      </c>
      <c r="J65" s="382"/>
      <c r="K65" s="296"/>
    </row>
    <row r="66" spans="1:11">
      <c r="A66" s="295">
        <v>1</v>
      </c>
      <c r="B66" s="871" t="s">
        <v>95</v>
      </c>
      <c r="C66" s="871"/>
      <c r="D66" s="383">
        <f t="shared" si="25"/>
        <v>253000</v>
      </c>
      <c r="E66" s="383">
        <f>D66*E$4</f>
        <v>0</v>
      </c>
      <c r="F66" s="382"/>
      <c r="G66" s="388"/>
      <c r="H66" s="382"/>
      <c r="I66" s="382">
        <f t="shared" si="26"/>
        <v>253000</v>
      </c>
      <c r="J66" s="382">
        <f>I66/J$5</f>
        <v>9730.7692307692305</v>
      </c>
      <c r="K66" s="296"/>
    </row>
    <row r="67" spans="1:11">
      <c r="A67" s="295">
        <v>2</v>
      </c>
      <c r="B67" s="871" t="s">
        <v>64</v>
      </c>
      <c r="C67" s="871"/>
      <c r="D67" s="383">
        <f t="shared" si="25"/>
        <v>253000</v>
      </c>
      <c r="E67" s="383">
        <f>D67*E$4</f>
        <v>0</v>
      </c>
      <c r="F67" s="382"/>
      <c r="G67" s="388"/>
      <c r="H67" s="382"/>
      <c r="I67" s="382">
        <f t="shared" si="26"/>
        <v>253000</v>
      </c>
      <c r="J67" s="382">
        <f>I67/J$5</f>
        <v>9730.7692307692305</v>
      </c>
      <c r="K67" s="296"/>
    </row>
    <row r="68" spans="1:11">
      <c r="A68" s="295">
        <v>3</v>
      </c>
      <c r="B68" s="871" t="s">
        <v>65</v>
      </c>
      <c r="C68" s="871"/>
      <c r="D68" s="383">
        <f t="shared" si="25"/>
        <v>253000</v>
      </c>
      <c r="E68" s="383">
        <f>D68*E$4</f>
        <v>0</v>
      </c>
      <c r="F68" s="382"/>
      <c r="G68" s="388"/>
      <c r="H68" s="382"/>
      <c r="I68" s="382">
        <f t="shared" si="26"/>
        <v>253000</v>
      </c>
      <c r="J68" s="382">
        <f>I68/J$5</f>
        <v>9730.7692307692305</v>
      </c>
      <c r="K68" s="296"/>
    </row>
    <row r="69" spans="1:11" hidden="1">
      <c r="A69" s="295"/>
      <c r="B69" s="385" t="s">
        <v>310</v>
      </c>
      <c r="C69" s="385"/>
      <c r="D69" s="383"/>
      <c r="E69" s="383"/>
      <c r="F69" s="382"/>
      <c r="G69" s="390"/>
      <c r="H69" s="382"/>
      <c r="I69" s="391">
        <v>730000</v>
      </c>
      <c r="J69" s="392">
        <f>I69/J5</f>
        <v>28076.923076923078</v>
      </c>
      <c r="K69" s="296"/>
    </row>
    <row r="70" spans="1:11">
      <c r="A70" s="295"/>
      <c r="B70" s="385" t="s">
        <v>50</v>
      </c>
      <c r="C70" s="385"/>
      <c r="D70" s="383"/>
      <c r="E70" s="383"/>
      <c r="F70" s="382"/>
      <c r="G70" s="390"/>
      <c r="H70" s="382"/>
      <c r="I70" s="391">
        <v>3860000</v>
      </c>
      <c r="J70" s="815">
        <v>151259</v>
      </c>
      <c r="K70" s="296"/>
    </row>
    <row r="71" spans="1:11" s="294" customFormat="1" ht="16.5" hidden="1">
      <c r="A71" s="297"/>
      <c r="B71" s="293" t="s">
        <v>458</v>
      </c>
      <c r="C71" s="298"/>
      <c r="D71" s="298"/>
      <c r="E71" s="299"/>
      <c r="F71" s="299"/>
      <c r="G71" s="299"/>
      <c r="H71" s="299"/>
      <c r="I71" s="558">
        <f>[1]L_CBac!J94</f>
        <v>5310000</v>
      </c>
      <c r="J71" s="559">
        <f>I71/26</f>
        <v>204230.76923076922</v>
      </c>
      <c r="K71" s="296"/>
    </row>
    <row r="72" spans="1:11" s="294" customFormat="1" ht="16.5" hidden="1">
      <c r="A72" s="297"/>
      <c r="B72" s="293" t="s">
        <v>459</v>
      </c>
      <c r="C72" s="298"/>
      <c r="D72" s="298"/>
      <c r="E72" s="300"/>
      <c r="F72" s="300"/>
      <c r="G72" s="300"/>
      <c r="H72" s="300"/>
      <c r="I72" s="558">
        <f>[1]L_CBac!J95</f>
        <v>4730000</v>
      </c>
      <c r="J72" s="559">
        <f t="shared" ref="J72:J74" si="27">I72/26</f>
        <v>181923.07692307694</v>
      </c>
      <c r="K72" s="296" t="s">
        <v>461</v>
      </c>
    </row>
    <row r="73" spans="1:11" s="294" customFormat="1" ht="16.5" hidden="1">
      <c r="A73" s="297"/>
      <c r="B73" s="293" t="s">
        <v>460</v>
      </c>
      <c r="C73" s="298"/>
      <c r="D73" s="298"/>
      <c r="E73" s="298"/>
      <c r="F73" s="298"/>
      <c r="G73" s="298"/>
      <c r="H73" s="298"/>
      <c r="I73" s="558">
        <f>[1]L_CBac!J96</f>
        <v>4140000</v>
      </c>
      <c r="J73" s="559">
        <f t="shared" si="27"/>
        <v>159230.76923076922</v>
      </c>
      <c r="K73" s="296"/>
    </row>
    <row r="74" spans="1:11" s="294" customFormat="1" ht="16.5" hidden="1">
      <c r="A74" s="297"/>
      <c r="B74" s="293" t="s">
        <v>462</v>
      </c>
      <c r="C74" s="298"/>
      <c r="D74" s="298"/>
      <c r="E74" s="298"/>
      <c r="F74" s="298"/>
      <c r="G74" s="298"/>
      <c r="H74" s="298"/>
      <c r="I74" s="558">
        <f>[1]L_CBac!J98</f>
        <v>3700000</v>
      </c>
      <c r="J74" s="559">
        <f t="shared" si="27"/>
        <v>142307.69230769231</v>
      </c>
      <c r="K74" s="296"/>
    </row>
  </sheetData>
  <mergeCells count="9">
    <mergeCell ref="B67:C67"/>
    <mergeCell ref="B68:C68"/>
    <mergeCell ref="A1:J1"/>
    <mergeCell ref="B63:C63"/>
    <mergeCell ref="B64:C64"/>
    <mergeCell ref="B62:C62"/>
    <mergeCell ref="B66:C66"/>
    <mergeCell ref="E3:E5"/>
    <mergeCell ref="A2:K2"/>
  </mergeCells>
  <phoneticPr fontId="0" type="noConversion"/>
  <printOptions horizontalCentered="1"/>
  <pageMargins left="0.39370078740157483" right="0.19685039370078741" top="0.39370078740157483" bottom="0.59055118110236227" header="0.19685039370078741" footer="0.19685039370078741"/>
  <pageSetup paperSize="9" firstPageNumber="53" orientation="portrait"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sheetPr>
  <dimension ref="A1:AO490"/>
  <sheetViews>
    <sheetView zoomScaleNormal="100" workbookViewId="0">
      <pane ySplit="6" topLeftCell="A457" activePane="bottomLeft" state="frozen"/>
      <selection pane="bottomLeft" activeCell="B476" sqref="B476:AF476"/>
    </sheetView>
  </sheetViews>
  <sheetFormatPr defaultColWidth="9" defaultRowHeight="13"/>
  <cols>
    <col min="1" max="1" width="6.23046875" style="53" customWidth="1"/>
    <col min="2" max="2" width="32.23046875" style="50" customWidth="1"/>
    <col min="3" max="3" width="32.23046875" style="50" hidden="1" customWidth="1"/>
    <col min="4" max="4" width="6.4609375" style="50" hidden="1" customWidth="1"/>
    <col min="5" max="5" width="5.84375" style="49" customWidth="1"/>
    <col min="6" max="6" width="6.765625" style="50" hidden="1" customWidth="1"/>
    <col min="7" max="7" width="6.765625" style="49" hidden="1" customWidth="1"/>
    <col min="8" max="8" width="6" style="49" hidden="1" customWidth="1"/>
    <col min="9" max="9" width="6" style="49" customWidth="1"/>
    <col min="10" max="10" width="5.765625" style="49" customWidth="1"/>
    <col min="11" max="11" width="5.84375" style="49" customWidth="1"/>
    <col min="12" max="12" width="5.765625" style="49" customWidth="1"/>
    <col min="13" max="13" width="5.4609375" style="49" hidden="1" customWidth="1"/>
    <col min="14" max="14" width="5.4609375" style="61" hidden="1" customWidth="1"/>
    <col min="15" max="16" width="6" style="61" hidden="1" customWidth="1"/>
    <col min="17" max="17" width="6.765625" style="61" hidden="1" customWidth="1"/>
    <col min="18" max="18" width="6.23046875" style="49" hidden="1" customWidth="1"/>
    <col min="19" max="20" width="6.07421875" style="49" hidden="1" customWidth="1"/>
    <col min="21" max="23" width="5.765625" style="49" customWidth="1"/>
    <col min="24" max="24" width="6" style="49" customWidth="1"/>
    <col min="25" max="26" width="6" style="49" hidden="1" customWidth="1"/>
    <col min="27" max="27" width="5.84375" style="49" hidden="1" customWidth="1"/>
    <col min="28" max="28" width="6.765625" style="49" hidden="1" customWidth="1"/>
    <col min="29" max="29" width="4.84375" style="49" customWidth="1"/>
    <col min="30" max="30" width="6.84375" style="49" bestFit="1" customWidth="1"/>
    <col min="31" max="31" width="10.765625" style="49" bestFit="1" customWidth="1"/>
    <col min="32" max="32" width="6.4609375" style="53" customWidth="1"/>
    <col min="33" max="33" width="9" style="49" bestFit="1" customWidth="1"/>
    <col min="34" max="34" width="8.07421875" style="71" customWidth="1"/>
    <col min="35" max="35" width="10.4609375" style="50" bestFit="1" customWidth="1"/>
    <col min="36" max="36" width="9.23046875" style="50" customWidth="1"/>
    <col min="37" max="38" width="9" style="50"/>
    <col min="39" max="39" width="29.23046875" style="50" customWidth="1"/>
    <col min="40" max="40" width="23.23046875" style="50" customWidth="1"/>
    <col min="41" max="16384" width="9" style="50"/>
  </cols>
  <sheetData>
    <row r="1" spans="1:34" s="60" customFormat="1" ht="18" customHeight="1">
      <c r="A1" s="891" t="s">
        <v>296</v>
      </c>
      <c r="B1" s="891"/>
      <c r="C1" s="891"/>
      <c r="D1" s="891"/>
      <c r="E1" s="891"/>
      <c r="F1" s="891"/>
      <c r="G1" s="891"/>
      <c r="H1" s="891"/>
      <c r="I1" s="891"/>
      <c r="J1" s="891"/>
      <c r="K1" s="891"/>
      <c r="L1" s="891"/>
      <c r="M1" s="891"/>
      <c r="N1" s="891"/>
      <c r="O1" s="891"/>
      <c r="P1" s="891"/>
      <c r="Q1" s="891"/>
      <c r="R1" s="891"/>
      <c r="S1" s="891"/>
      <c r="T1" s="891"/>
      <c r="U1" s="891"/>
      <c r="V1" s="891"/>
      <c r="W1" s="891"/>
      <c r="X1" s="891"/>
      <c r="Y1" s="891"/>
      <c r="Z1" s="891"/>
      <c r="AA1" s="891"/>
      <c r="AB1" s="891"/>
      <c r="AC1" s="891"/>
      <c r="AD1" s="891"/>
      <c r="AE1" s="891"/>
      <c r="AF1" s="891"/>
      <c r="AG1" s="891"/>
      <c r="AH1" s="891"/>
    </row>
    <row r="2" spans="1:34" s="60" customFormat="1" ht="33.75" customHeight="1">
      <c r="A2" s="865" t="s">
        <v>570</v>
      </c>
      <c r="B2" s="865"/>
      <c r="C2" s="865"/>
      <c r="D2" s="865"/>
      <c r="E2" s="865"/>
      <c r="F2" s="865"/>
      <c r="G2" s="865"/>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row>
    <row r="3" spans="1:34" ht="13.5" thickBot="1">
      <c r="B3" s="49"/>
      <c r="C3" s="49"/>
      <c r="D3" s="49"/>
      <c r="F3" s="49"/>
      <c r="AH3" s="62"/>
    </row>
    <row r="4" spans="1:34" s="49" customFormat="1" ht="26">
      <c r="A4" s="317"/>
      <c r="B4" s="318" t="s">
        <v>71</v>
      </c>
      <c r="C4" s="318"/>
      <c r="D4" s="318"/>
      <c r="E4" s="318" t="s">
        <v>197</v>
      </c>
      <c r="F4" s="318" t="s">
        <v>99</v>
      </c>
      <c r="G4" s="318" t="s">
        <v>72</v>
      </c>
      <c r="H4" s="318" t="s">
        <v>100</v>
      </c>
      <c r="I4" s="318" t="s">
        <v>101</v>
      </c>
      <c r="J4" s="318" t="s">
        <v>102</v>
      </c>
      <c r="K4" s="318" t="s">
        <v>73</v>
      </c>
      <c r="L4" s="318" t="s">
        <v>74</v>
      </c>
      <c r="M4" s="318" t="s">
        <v>75</v>
      </c>
      <c r="N4" s="318" t="s">
        <v>76</v>
      </c>
      <c r="O4" s="318" t="s">
        <v>77</v>
      </c>
      <c r="P4" s="318" t="s">
        <v>78</v>
      </c>
      <c r="Q4" s="318" t="s">
        <v>79</v>
      </c>
      <c r="R4" s="318" t="s">
        <v>80</v>
      </c>
      <c r="S4" s="318" t="s">
        <v>81</v>
      </c>
      <c r="T4" s="318" t="s">
        <v>82</v>
      </c>
      <c r="U4" s="318" t="s">
        <v>103</v>
      </c>
      <c r="V4" s="318" t="s">
        <v>83</v>
      </c>
      <c r="W4" s="318" t="s">
        <v>84</v>
      </c>
      <c r="X4" s="318" t="s">
        <v>85</v>
      </c>
      <c r="Y4" s="318" t="s">
        <v>86</v>
      </c>
      <c r="Z4" s="318" t="s">
        <v>87</v>
      </c>
      <c r="AA4" s="318" t="s">
        <v>88</v>
      </c>
      <c r="AB4" s="318" t="s">
        <v>89</v>
      </c>
      <c r="AC4" s="319" t="s">
        <v>299</v>
      </c>
      <c r="AD4" s="319" t="s">
        <v>38</v>
      </c>
      <c r="AE4" s="319" t="s">
        <v>16</v>
      </c>
      <c r="AF4" s="320" t="s">
        <v>24</v>
      </c>
      <c r="AG4" s="319" t="s">
        <v>443</v>
      </c>
      <c r="AH4" s="321" t="s">
        <v>298</v>
      </c>
    </row>
    <row r="5" spans="1:34" s="63" customFormat="1">
      <c r="A5" s="322"/>
      <c r="B5" s="323" t="s">
        <v>90</v>
      </c>
      <c r="C5" s="323"/>
      <c r="D5" s="323"/>
      <c r="E5" s="324"/>
      <c r="F5" s="324">
        <f>L_CBac!$J33</f>
        <v>360812.05769230769</v>
      </c>
      <c r="G5" s="324">
        <f>L_CBac!$J34</f>
        <v>418496.05769230769</v>
      </c>
      <c r="H5" s="324">
        <f>L_CBac!$J35</f>
        <v>472574.80769230769</v>
      </c>
      <c r="I5" s="324">
        <f>L_CBac!$J19</f>
        <v>223525.5</v>
      </c>
      <c r="J5" s="324">
        <f>L_CBac!$J20</f>
        <v>247560.5</v>
      </c>
      <c r="K5" s="324">
        <f>L_CBac!$J21</f>
        <v>271595.50000000006</v>
      </c>
      <c r="L5" s="324">
        <f>L_CBac!$J22</f>
        <v>295630.50000000006</v>
      </c>
      <c r="M5" s="324">
        <f>L_CBac!$J23</f>
        <v>319665.50000000006</v>
      </c>
      <c r="N5" s="324">
        <f>L_CBac!$J24</f>
        <v>343700.50000000006</v>
      </c>
      <c r="O5" s="324">
        <f>L_CBac!$J25</f>
        <v>367735.50000000012</v>
      </c>
      <c r="P5" s="324">
        <f>L_CBac!$J26</f>
        <v>391770.50000000012</v>
      </c>
      <c r="Q5" s="324">
        <f>L_CBac!$J27</f>
        <v>415805.50000000012</v>
      </c>
      <c r="R5" s="324">
        <f>L_CBac!$J28</f>
        <v>439840.50000000012</v>
      </c>
      <c r="S5" s="324">
        <f>L_CBac!$J29</f>
        <v>463875.50000000012</v>
      </c>
      <c r="T5" s="324">
        <f>L_CBac!$J30</f>
        <v>487910.50000000012</v>
      </c>
      <c r="U5" s="324">
        <f>L_CBac!$J9</f>
        <v>281209.5</v>
      </c>
      <c r="V5" s="324">
        <f>L_CBac!$J10</f>
        <v>320867.25</v>
      </c>
      <c r="W5" s="324">
        <f>L_CBac!$J11</f>
        <v>360525</v>
      </c>
      <c r="X5" s="324">
        <f>L_CBac!$J12</f>
        <v>400182.75</v>
      </c>
      <c r="Y5" s="324">
        <f>L_CBac!$J13</f>
        <v>439840.5</v>
      </c>
      <c r="Z5" s="324">
        <f>L_CBac!$J14</f>
        <v>479498.25</v>
      </c>
      <c r="AA5" s="324">
        <f>L_CBac!$J15</f>
        <v>519156</v>
      </c>
      <c r="AB5" s="324">
        <f>L_CBac!$J16</f>
        <v>558813.75</v>
      </c>
      <c r="AC5" s="323"/>
      <c r="AD5" s="323"/>
      <c r="AE5" s="323"/>
      <c r="AF5" s="325"/>
      <c r="AG5" s="323"/>
      <c r="AH5" s="326"/>
    </row>
    <row r="6" spans="1:34" s="63" customFormat="1">
      <c r="A6" s="322"/>
      <c r="B6" s="323" t="s">
        <v>91</v>
      </c>
      <c r="C6" s="323"/>
      <c r="D6" s="323"/>
      <c r="E6" s="324">
        <f>L_CBac!J70</f>
        <v>151259</v>
      </c>
      <c r="F6" s="324"/>
      <c r="G6" s="324"/>
      <c r="H6" s="324"/>
      <c r="I6" s="324">
        <f>L_CBac!$J48</f>
        <v>223525.5</v>
      </c>
      <c r="J6" s="324">
        <f>L_CBac!$J49</f>
        <v>247560.5</v>
      </c>
      <c r="K6" s="324">
        <f>L_CBac!$J50</f>
        <v>271595.50000000006</v>
      </c>
      <c r="L6" s="324">
        <f>L_CBac!$J51</f>
        <v>295630.50000000006</v>
      </c>
      <c r="M6" s="324">
        <f>L_CBac!$J52</f>
        <v>319665.50000000006</v>
      </c>
      <c r="N6" s="324">
        <f>L_CBac!$J53</f>
        <v>343700.50000000006</v>
      </c>
      <c r="O6" s="324">
        <f>L_CBac!$J54</f>
        <v>367735.50000000012</v>
      </c>
      <c r="P6" s="324">
        <f>L_CBac!$J55</f>
        <v>391770.50000000012</v>
      </c>
      <c r="Q6" s="324">
        <f>L_CBac!$J56</f>
        <v>415805.50000000012</v>
      </c>
      <c r="R6" s="324">
        <f>L_CBac!$J57</f>
        <v>439840.50000000012</v>
      </c>
      <c r="S6" s="324">
        <f>L_CBac!$J58</f>
        <v>463875.50000000012</v>
      </c>
      <c r="T6" s="324">
        <f>L_CBac!$J59</f>
        <v>487910.50000000012</v>
      </c>
      <c r="U6" s="324">
        <f>L_CBac!$J38</f>
        <v>281209.5</v>
      </c>
      <c r="V6" s="324">
        <f>L_CBac!$J39</f>
        <v>320867.25</v>
      </c>
      <c r="W6" s="324">
        <f>L_CBac!$J40</f>
        <v>360525</v>
      </c>
      <c r="X6" s="324">
        <f>L_CBac!$J41</f>
        <v>400182.75</v>
      </c>
      <c r="Y6" s="324">
        <f>L_CBac!$J42</f>
        <v>439840.5</v>
      </c>
      <c r="Z6" s="324">
        <f>L_CBac!$J43</f>
        <v>479498.25</v>
      </c>
      <c r="AA6" s="324">
        <f>L_CBac!$J44</f>
        <v>519156</v>
      </c>
      <c r="AB6" s="324">
        <f>L_CBac!$J45</f>
        <v>558813.75</v>
      </c>
      <c r="AC6" s="323"/>
      <c r="AD6" s="323"/>
      <c r="AE6" s="323"/>
      <c r="AF6" s="325"/>
      <c r="AG6" s="323"/>
      <c r="AH6" s="326"/>
    </row>
    <row r="7" spans="1:34">
      <c r="A7" s="327">
        <v>1</v>
      </c>
      <c r="B7" s="328" t="s">
        <v>92</v>
      </c>
      <c r="C7" s="328"/>
      <c r="D7" s="328"/>
      <c r="E7" s="329"/>
      <c r="F7" s="328"/>
      <c r="G7" s="329"/>
      <c r="H7" s="329"/>
      <c r="I7" s="329"/>
      <c r="J7" s="329"/>
      <c r="K7" s="330"/>
      <c r="L7" s="329"/>
      <c r="M7" s="330"/>
      <c r="N7" s="329"/>
      <c r="O7" s="330"/>
      <c r="P7" s="330"/>
      <c r="Q7" s="330"/>
      <c r="R7" s="330"/>
      <c r="S7" s="330"/>
      <c r="T7" s="330"/>
      <c r="U7" s="330"/>
      <c r="V7" s="329"/>
      <c r="W7" s="329"/>
      <c r="X7" s="330"/>
      <c r="Y7" s="330"/>
      <c r="Z7" s="330"/>
      <c r="AA7" s="330"/>
      <c r="AB7" s="330">
        <v>1</v>
      </c>
      <c r="AC7" s="330">
        <f>SUM(E7:AB7)</f>
        <v>1</v>
      </c>
      <c r="AD7" s="330"/>
      <c r="AE7" s="330"/>
      <c r="AF7" s="331"/>
      <c r="AG7" s="330"/>
      <c r="AH7" s="332">
        <f>(E7*E$5+F7*F$5+G7*G$5+H7*H$5+I7*I$5+J7*J$5+K7*K$5+L7*L$5+M7*M$5+N7*N$5+O7*O$5+P7*P$5+Q7*Q$5+R7*R$5+S7*S$5+T7*T$5+U7*U$5+V7*V$5+W7*W$5+X7*X$5+Y7*Y$5+Z7*Z$5+AA7*AA$5+AB7*AB$5)</f>
        <v>558813.75</v>
      </c>
    </row>
    <row r="8" spans="1:34">
      <c r="A8" s="327">
        <v>2</v>
      </c>
      <c r="B8" s="328" t="s">
        <v>93</v>
      </c>
      <c r="C8" s="328"/>
      <c r="D8" s="328"/>
      <c r="E8" s="329"/>
      <c r="F8" s="328"/>
      <c r="G8" s="329"/>
      <c r="H8" s="329"/>
      <c r="I8" s="329"/>
      <c r="J8" s="329"/>
      <c r="K8" s="330"/>
      <c r="L8" s="329"/>
      <c r="M8" s="330"/>
      <c r="N8" s="329"/>
      <c r="O8" s="330"/>
      <c r="P8" s="330"/>
      <c r="Q8" s="330"/>
      <c r="R8" s="330"/>
      <c r="S8" s="330"/>
      <c r="T8" s="330"/>
      <c r="U8" s="330"/>
      <c r="V8" s="329"/>
      <c r="W8" s="329"/>
      <c r="X8" s="330"/>
      <c r="Y8" s="330"/>
      <c r="Z8" s="330"/>
      <c r="AA8" s="330"/>
      <c r="AB8" s="330">
        <v>1</v>
      </c>
      <c r="AC8" s="330">
        <f>SUM(E8:AB8)</f>
        <v>1</v>
      </c>
      <c r="AD8" s="330"/>
      <c r="AE8" s="330"/>
      <c r="AF8" s="331"/>
      <c r="AG8" s="330"/>
      <c r="AH8" s="332">
        <f>(E8*E$6+F8*F$6+G8*G$6+H8*H$6+I8*I$6+J8*J$6+K8*K$6+L8*L$6+M8*M$6+N8*N$6+O8*O$6+P8*P$6+Q8*Q$6+R8*R$6+S8*S$6+T8*T$6+U8*U$6+V8*V$6+W8*W$6+X8*X$6+Y8*Y$6+Z8*Z$6+AA8*AA$6+AB8*AB$6)</f>
        <v>558813.75</v>
      </c>
    </row>
    <row r="9" spans="1:34">
      <c r="A9" s="334"/>
      <c r="B9" s="335"/>
      <c r="C9" s="335"/>
      <c r="D9" s="335"/>
      <c r="E9" s="336"/>
      <c r="F9" s="335"/>
      <c r="G9" s="336"/>
      <c r="H9" s="336"/>
      <c r="I9" s="336"/>
      <c r="J9" s="336"/>
      <c r="K9" s="337"/>
      <c r="L9" s="336"/>
      <c r="M9" s="337"/>
      <c r="N9" s="336"/>
      <c r="O9" s="337"/>
      <c r="P9" s="337"/>
      <c r="Q9" s="337"/>
      <c r="R9" s="337"/>
      <c r="S9" s="337"/>
      <c r="T9" s="337"/>
      <c r="U9" s="337"/>
      <c r="V9" s="336"/>
      <c r="W9" s="336"/>
      <c r="X9" s="337"/>
      <c r="Y9" s="337"/>
      <c r="Z9" s="337"/>
      <c r="AA9" s="337"/>
      <c r="AB9" s="337"/>
      <c r="AC9" s="337"/>
      <c r="AD9" s="337"/>
      <c r="AE9" s="337"/>
      <c r="AF9" s="338"/>
      <c r="AG9" s="337"/>
      <c r="AH9" s="339"/>
    </row>
    <row r="10" spans="1:34" ht="32.25" customHeight="1">
      <c r="A10" s="596" t="s">
        <v>25</v>
      </c>
      <c r="B10" s="892" t="s">
        <v>839</v>
      </c>
      <c r="C10" s="892"/>
      <c r="D10" s="892"/>
      <c r="E10" s="892"/>
      <c r="F10" s="892"/>
      <c r="G10" s="892"/>
      <c r="H10" s="892"/>
      <c r="I10" s="892"/>
      <c r="J10" s="892"/>
      <c r="K10" s="892"/>
      <c r="L10" s="892"/>
      <c r="M10" s="892"/>
      <c r="N10" s="892"/>
      <c r="O10" s="892"/>
      <c r="P10" s="892"/>
      <c r="Q10" s="892"/>
      <c r="R10" s="892"/>
      <c r="S10" s="892"/>
      <c r="T10" s="892"/>
      <c r="U10" s="892"/>
      <c r="V10" s="892"/>
      <c r="W10" s="892"/>
      <c r="X10" s="892"/>
      <c r="Y10" s="892"/>
      <c r="Z10" s="892"/>
      <c r="AA10" s="892"/>
      <c r="AB10" s="892"/>
      <c r="AC10" s="892"/>
      <c r="AD10" s="892"/>
      <c r="AE10" s="892"/>
      <c r="AF10" s="892"/>
      <c r="AG10" s="892"/>
      <c r="AH10" s="340" t="s">
        <v>300</v>
      </c>
    </row>
    <row r="11" spans="1:34" s="38" customFormat="1" ht="18" customHeight="1">
      <c r="A11" s="597" t="s">
        <v>122</v>
      </c>
      <c r="B11" s="893" t="s">
        <v>740</v>
      </c>
      <c r="C11" s="893"/>
      <c r="D11" s="893"/>
      <c r="E11" s="893"/>
      <c r="F11" s="893"/>
      <c r="G11" s="893"/>
      <c r="H11" s="893"/>
      <c r="I11" s="893"/>
      <c r="J11" s="893"/>
      <c r="K11" s="893"/>
      <c r="L11" s="893"/>
      <c r="M11" s="893"/>
      <c r="N11" s="893"/>
      <c r="O11" s="893"/>
      <c r="P11" s="893"/>
      <c r="Q11" s="893"/>
      <c r="R11" s="893"/>
      <c r="S11" s="893"/>
      <c r="T11" s="893"/>
      <c r="U11" s="893"/>
      <c r="V11" s="893"/>
      <c r="W11" s="893"/>
      <c r="X11" s="893"/>
      <c r="Y11" s="893"/>
      <c r="Z11" s="893"/>
      <c r="AA11" s="893"/>
      <c r="AB11" s="893"/>
      <c r="AC11" s="893"/>
      <c r="AD11" s="893"/>
      <c r="AE11" s="893"/>
      <c r="AF11" s="893"/>
      <c r="AG11" s="893"/>
      <c r="AH11" s="598"/>
    </row>
    <row r="12" spans="1:34" ht="22.5" customHeight="1">
      <c r="A12" s="342" t="s">
        <v>32</v>
      </c>
      <c r="B12" s="279" t="s">
        <v>144</v>
      </c>
      <c r="C12" s="279" t="s">
        <v>144</v>
      </c>
      <c r="D12" s="278"/>
      <c r="E12" s="278"/>
      <c r="F12" s="279"/>
      <c r="G12" s="278"/>
      <c r="H12" s="278"/>
      <c r="I12" s="278"/>
      <c r="J12" s="278"/>
      <c r="K12" s="343"/>
      <c r="L12" s="278"/>
      <c r="M12" s="343"/>
      <c r="N12" s="278"/>
      <c r="O12" s="343"/>
      <c r="P12" s="343"/>
      <c r="Q12" s="343"/>
      <c r="R12" s="343"/>
      <c r="S12" s="343"/>
      <c r="T12" s="343"/>
      <c r="U12" s="343"/>
      <c r="V12" s="278"/>
      <c r="W12" s="278"/>
      <c r="X12" s="343"/>
      <c r="Y12" s="343"/>
      <c r="Z12" s="343"/>
      <c r="AA12" s="343"/>
      <c r="AB12" s="343"/>
      <c r="AC12" s="343"/>
      <c r="AD12" s="278"/>
      <c r="AE12" s="278"/>
      <c r="AF12" s="342"/>
      <c r="AG12" s="278"/>
      <c r="AH12" s="344"/>
    </row>
    <row r="13" spans="1:34" s="229" customFormat="1" ht="14">
      <c r="A13" s="342" t="s">
        <v>132</v>
      </c>
      <c r="B13" s="347" t="s">
        <v>582</v>
      </c>
      <c r="C13" s="279" t="s">
        <v>674</v>
      </c>
      <c r="D13" s="278">
        <v>2</v>
      </c>
      <c r="E13" s="278"/>
      <c r="F13" s="279"/>
      <c r="G13" s="343"/>
      <c r="H13" s="343"/>
      <c r="I13" s="343"/>
      <c r="J13" s="343"/>
      <c r="K13" s="343"/>
      <c r="L13" s="345">
        <v>1</v>
      </c>
      <c r="M13" s="343"/>
      <c r="N13" s="343"/>
      <c r="O13" s="343"/>
      <c r="P13" s="343"/>
      <c r="Q13" s="343"/>
      <c r="R13" s="343"/>
      <c r="S13" s="343"/>
      <c r="T13" s="343"/>
      <c r="U13" s="343"/>
      <c r="V13" s="343">
        <v>1</v>
      </c>
      <c r="W13" s="343"/>
      <c r="X13" s="343"/>
      <c r="Y13" s="343"/>
      <c r="Z13" s="343"/>
      <c r="AA13" s="343"/>
      <c r="AB13" s="343"/>
      <c r="AC13" s="343">
        <f t="shared" ref="AC13:AC75" si="0">SUM(E13:AB13)</f>
        <v>2</v>
      </c>
      <c r="AD13" s="278" t="s">
        <v>138</v>
      </c>
      <c r="AE13" s="278" t="s">
        <v>438</v>
      </c>
      <c r="AF13" s="342" t="s">
        <v>31</v>
      </c>
      <c r="AG13" s="278">
        <v>2</v>
      </c>
      <c r="AH13" s="344">
        <f>(E13*E$6+F13*F$6+G13*G$6+H13*H$6+I13*I$6+J13*J$6+K13*K$6+L13*L$6+M13*M$6+N13*N$6+O13*O$6+P13*P$6+Q13*Q$6+R13*R$6+S13*S$6+T13*T$6+U13*U$6+V13*V$6+W13*W$6+X13*X$6+Y13*Y$6+Z13*Z$6+AA13*AA$6+AB13*AB$6)</f>
        <v>616497.75</v>
      </c>
    </row>
    <row r="14" spans="1:34" s="229" customFormat="1" ht="17.25" customHeight="1">
      <c r="A14" s="342"/>
      <c r="B14" s="279"/>
      <c r="C14" s="279"/>
      <c r="D14" s="278">
        <v>2</v>
      </c>
      <c r="E14" s="278">
        <v>1</v>
      </c>
      <c r="F14" s="279"/>
      <c r="G14" s="343"/>
      <c r="H14" s="343"/>
      <c r="I14" s="343"/>
      <c r="J14" s="343"/>
      <c r="K14" s="343"/>
      <c r="L14" s="345"/>
      <c r="M14" s="343"/>
      <c r="N14" s="343"/>
      <c r="O14" s="343"/>
      <c r="P14" s="343"/>
      <c r="Q14" s="343"/>
      <c r="R14" s="343"/>
      <c r="S14" s="343"/>
      <c r="T14" s="343"/>
      <c r="U14" s="343"/>
      <c r="V14" s="343"/>
      <c r="W14" s="343"/>
      <c r="X14" s="343"/>
      <c r="Y14" s="343"/>
      <c r="Z14" s="343"/>
      <c r="AA14" s="343"/>
      <c r="AB14" s="343"/>
      <c r="AC14" s="343">
        <f t="shared" si="0"/>
        <v>1</v>
      </c>
      <c r="AD14" s="278"/>
      <c r="AE14" s="278" t="s">
        <v>197</v>
      </c>
      <c r="AF14" s="342"/>
      <c r="AG14" s="278">
        <v>2</v>
      </c>
      <c r="AH14" s="344">
        <f>(E14*E$6+F14*F$6+G14*G$6+H14*H$6+I14*I$6+J14*J$6+K14*K$6+L14*L$6+M14*M$6+N14*N$6+O14*O$6+P14*P$6+Q14*Q$6+R14*R$6+S14*S$6+T14*T$6+U14*U$6+V14*V$6+W14*W$6+X14*X$6+Y14*Y$6+Z14*Z$6+AA14*AA$6+AB14*AB$6)</f>
        <v>151259</v>
      </c>
    </row>
    <row r="15" spans="1:34" s="229" customFormat="1" ht="43.5" customHeight="1">
      <c r="A15" s="342" t="s">
        <v>133</v>
      </c>
      <c r="B15" s="347" t="s">
        <v>659</v>
      </c>
      <c r="C15" s="401" t="s">
        <v>675</v>
      </c>
      <c r="D15" s="402">
        <v>16</v>
      </c>
      <c r="E15" s="278"/>
      <c r="F15" s="279"/>
      <c r="G15" s="343"/>
      <c r="H15" s="343"/>
      <c r="I15" s="343"/>
      <c r="J15" s="343"/>
      <c r="K15" s="343"/>
      <c r="L15" s="345">
        <v>1</v>
      </c>
      <c r="M15" s="343"/>
      <c r="N15" s="343"/>
      <c r="O15" s="343"/>
      <c r="P15" s="343"/>
      <c r="Q15" s="343"/>
      <c r="R15" s="343"/>
      <c r="S15" s="343"/>
      <c r="T15" s="343"/>
      <c r="U15" s="343"/>
      <c r="V15" s="343">
        <v>1</v>
      </c>
      <c r="W15" s="343">
        <v>1</v>
      </c>
      <c r="X15" s="343"/>
      <c r="Y15" s="343"/>
      <c r="Z15" s="343"/>
      <c r="AA15" s="343"/>
      <c r="AB15" s="343"/>
      <c r="AC15" s="343">
        <f t="shared" si="0"/>
        <v>3</v>
      </c>
      <c r="AD15" s="278" t="s">
        <v>139</v>
      </c>
      <c r="AE15" s="278" t="s">
        <v>439</v>
      </c>
      <c r="AF15" s="342" t="s">
        <v>31</v>
      </c>
      <c r="AG15" s="278">
        <v>16</v>
      </c>
      <c r="AH15" s="344">
        <f t="shared" ref="AH15:AH53" si="1">(E15*E$6+F15*F$6+G15*G$6+H15*H$6+I15*I$6+J15*J$6+K15*K$6+L15*L$6+M15*M$6+N15*N$6+O15*O$6+P15*P$6+Q15*Q$6+R15*R$6+S15*S$6+T15*T$6+U15*U$6+V15*V$6+W15*W$6+X15*X$6+Y15*Y$6+Z15*Z$6+AA15*AA$6+AB15*AB$6)</f>
        <v>977022.75</v>
      </c>
    </row>
    <row r="16" spans="1:34" s="229" customFormat="1" ht="26">
      <c r="A16" s="342" t="s">
        <v>145</v>
      </c>
      <c r="B16" s="347" t="s">
        <v>584</v>
      </c>
      <c r="C16" s="279" t="s">
        <v>676</v>
      </c>
      <c r="D16" s="278">
        <v>2.5</v>
      </c>
      <c r="E16" s="278"/>
      <c r="F16" s="279"/>
      <c r="G16" s="343"/>
      <c r="H16" s="343"/>
      <c r="I16" s="343"/>
      <c r="J16" s="343"/>
      <c r="K16" s="343"/>
      <c r="L16" s="345"/>
      <c r="M16" s="343"/>
      <c r="N16" s="343"/>
      <c r="O16" s="343"/>
      <c r="P16" s="343"/>
      <c r="Q16" s="343"/>
      <c r="R16" s="343"/>
      <c r="S16" s="343"/>
      <c r="T16" s="343"/>
      <c r="U16" s="343"/>
      <c r="V16" s="343"/>
      <c r="W16" s="343">
        <v>1</v>
      </c>
      <c r="X16" s="343"/>
      <c r="Y16" s="343"/>
      <c r="Z16" s="343"/>
      <c r="AA16" s="343"/>
      <c r="AB16" s="343"/>
      <c r="AC16" s="343">
        <f t="shared" si="0"/>
        <v>1</v>
      </c>
      <c r="AD16" s="278" t="s">
        <v>140</v>
      </c>
      <c r="AE16" s="278" t="s">
        <v>104</v>
      </c>
      <c r="AF16" s="342" t="s">
        <v>31</v>
      </c>
      <c r="AG16" s="278">
        <v>2.5</v>
      </c>
      <c r="AH16" s="344">
        <f>(E16*E$6+F16*F$6+G16*G$6+H16*H$6+I16*I$6+J16*J$6+K16*K$6+L16*L$6+M16*M$6+N16*N$6+O16*O$6+P16*P$6+Q16*Q$6+R16*R$6+S16*S$6+T16*T$6+U16*U$6+V16*V$6+W16*W$6+X16*X$6+Y16*Y$6+Z16*Z$6+AA16*AA$6+AB16*AB$6)</f>
        <v>360525</v>
      </c>
    </row>
    <row r="17" spans="1:34" s="229" customFormat="1" ht="14">
      <c r="A17" s="342"/>
      <c r="B17" s="279"/>
      <c r="C17" s="279"/>
      <c r="D17" s="278">
        <v>2.5</v>
      </c>
      <c r="E17" s="278">
        <v>1</v>
      </c>
      <c r="F17" s="279"/>
      <c r="G17" s="343"/>
      <c r="H17" s="343"/>
      <c r="I17" s="343"/>
      <c r="J17" s="343"/>
      <c r="K17" s="343"/>
      <c r="L17" s="345"/>
      <c r="M17" s="343"/>
      <c r="N17" s="343"/>
      <c r="O17" s="343"/>
      <c r="P17" s="343"/>
      <c r="Q17" s="343"/>
      <c r="R17" s="343"/>
      <c r="S17" s="343"/>
      <c r="T17" s="343"/>
      <c r="U17" s="343"/>
      <c r="V17" s="343"/>
      <c r="W17" s="343"/>
      <c r="X17" s="343"/>
      <c r="Y17" s="343"/>
      <c r="Z17" s="343"/>
      <c r="AA17" s="343"/>
      <c r="AB17" s="343"/>
      <c r="AC17" s="343">
        <f t="shared" si="0"/>
        <v>1</v>
      </c>
      <c r="AD17" s="278"/>
      <c r="AE17" s="278" t="s">
        <v>197</v>
      </c>
      <c r="AF17" s="342" t="s">
        <v>31</v>
      </c>
      <c r="AG17" s="278">
        <v>2.5</v>
      </c>
      <c r="AH17" s="344">
        <f t="shared" si="1"/>
        <v>151259</v>
      </c>
    </row>
    <row r="18" spans="1:34" s="229" customFormat="1" ht="14">
      <c r="A18" s="342" t="s">
        <v>146</v>
      </c>
      <c r="B18" s="347" t="s">
        <v>147</v>
      </c>
      <c r="C18" s="279" t="s">
        <v>147</v>
      </c>
      <c r="D18" s="278"/>
      <c r="E18" s="278"/>
      <c r="F18" s="279"/>
      <c r="G18" s="343"/>
      <c r="H18" s="343"/>
      <c r="I18" s="343"/>
      <c r="J18" s="343"/>
      <c r="K18" s="343"/>
      <c r="L18" s="345"/>
      <c r="M18" s="343"/>
      <c r="N18" s="343"/>
      <c r="O18" s="343"/>
      <c r="P18" s="343"/>
      <c r="Q18" s="343"/>
      <c r="R18" s="343"/>
      <c r="S18" s="343"/>
      <c r="T18" s="343"/>
      <c r="U18" s="343"/>
      <c r="V18" s="343"/>
      <c r="W18" s="343"/>
      <c r="X18" s="343"/>
      <c r="Y18" s="343"/>
      <c r="Z18" s="343"/>
      <c r="AA18" s="343"/>
      <c r="AB18" s="343"/>
      <c r="AC18" s="343">
        <f t="shared" si="0"/>
        <v>0</v>
      </c>
      <c r="AD18" s="278"/>
      <c r="AE18" s="278"/>
      <c r="AF18" s="342"/>
      <c r="AG18" s="278"/>
      <c r="AH18" s="344">
        <f t="shared" si="1"/>
        <v>0</v>
      </c>
    </row>
    <row r="19" spans="1:34" s="230" customFormat="1" ht="14">
      <c r="A19" s="304" t="s">
        <v>148</v>
      </c>
      <c r="B19" s="365" t="s">
        <v>149</v>
      </c>
      <c r="C19" s="279" t="s">
        <v>149</v>
      </c>
      <c r="D19" s="278">
        <v>0.1</v>
      </c>
      <c r="E19" s="278"/>
      <c r="F19" s="279"/>
      <c r="G19" s="343"/>
      <c r="H19" s="343"/>
      <c r="I19" s="343"/>
      <c r="J19" s="343"/>
      <c r="K19" s="343"/>
      <c r="L19" s="345"/>
      <c r="M19" s="343"/>
      <c r="N19" s="343"/>
      <c r="O19" s="343"/>
      <c r="P19" s="343"/>
      <c r="Q19" s="343"/>
      <c r="R19" s="343"/>
      <c r="S19" s="343"/>
      <c r="T19" s="343"/>
      <c r="U19" s="343"/>
      <c r="V19" s="343">
        <v>1</v>
      </c>
      <c r="W19" s="343"/>
      <c r="X19" s="343"/>
      <c r="Y19" s="343"/>
      <c r="Z19" s="343"/>
      <c r="AA19" s="343"/>
      <c r="AB19" s="343"/>
      <c r="AC19" s="343">
        <f t="shared" si="0"/>
        <v>1</v>
      </c>
      <c r="AD19" s="278" t="s">
        <v>51</v>
      </c>
      <c r="AE19" s="278" t="s">
        <v>67</v>
      </c>
      <c r="AF19" s="342" t="s">
        <v>31</v>
      </c>
      <c r="AG19" s="595">
        <v>0.15</v>
      </c>
      <c r="AH19" s="344">
        <f t="shared" si="1"/>
        <v>320867.25</v>
      </c>
    </row>
    <row r="20" spans="1:34" s="230" customFormat="1" ht="14">
      <c r="A20" s="304" t="s">
        <v>150</v>
      </c>
      <c r="B20" s="365" t="s">
        <v>151</v>
      </c>
      <c r="C20" s="279" t="s">
        <v>151</v>
      </c>
      <c r="D20" s="278">
        <v>0.05</v>
      </c>
      <c r="E20" s="278"/>
      <c r="F20" s="279"/>
      <c r="G20" s="343"/>
      <c r="H20" s="343"/>
      <c r="I20" s="343"/>
      <c r="J20" s="343"/>
      <c r="K20" s="343"/>
      <c r="L20" s="345"/>
      <c r="M20" s="343"/>
      <c r="N20" s="343"/>
      <c r="O20" s="343"/>
      <c r="P20" s="343"/>
      <c r="Q20" s="343"/>
      <c r="R20" s="343"/>
      <c r="S20" s="343"/>
      <c r="T20" s="343"/>
      <c r="U20" s="343"/>
      <c r="V20" s="343">
        <v>1</v>
      </c>
      <c r="W20" s="343"/>
      <c r="X20" s="343"/>
      <c r="Y20" s="343"/>
      <c r="Z20" s="343"/>
      <c r="AA20" s="343"/>
      <c r="AB20" s="343"/>
      <c r="AC20" s="343">
        <f t="shared" si="0"/>
        <v>1</v>
      </c>
      <c r="AD20" s="278" t="s">
        <v>51</v>
      </c>
      <c r="AE20" s="278" t="s">
        <v>67</v>
      </c>
      <c r="AF20" s="342" t="s">
        <v>31</v>
      </c>
      <c r="AG20" s="835">
        <v>0.1</v>
      </c>
      <c r="AH20" s="344">
        <f t="shared" si="1"/>
        <v>320867.25</v>
      </c>
    </row>
    <row r="21" spans="1:34" s="229" customFormat="1" ht="78">
      <c r="A21" s="342" t="s">
        <v>33</v>
      </c>
      <c r="B21" s="347" t="s">
        <v>495</v>
      </c>
      <c r="C21" s="279" t="s">
        <v>495</v>
      </c>
      <c r="D21" s="278">
        <v>0.1</v>
      </c>
      <c r="E21" s="278"/>
      <c r="F21" s="279"/>
      <c r="G21" s="343"/>
      <c r="H21" s="343"/>
      <c r="I21" s="343"/>
      <c r="J21" s="343"/>
      <c r="K21" s="343"/>
      <c r="L21" s="345"/>
      <c r="M21" s="343"/>
      <c r="N21" s="343"/>
      <c r="O21" s="343"/>
      <c r="P21" s="343"/>
      <c r="Q21" s="343"/>
      <c r="R21" s="343"/>
      <c r="S21" s="343"/>
      <c r="T21" s="343"/>
      <c r="U21" s="343"/>
      <c r="V21" s="343">
        <v>1</v>
      </c>
      <c r="W21" s="343"/>
      <c r="X21" s="343"/>
      <c r="Y21" s="343"/>
      <c r="Z21" s="343"/>
      <c r="AA21" s="343"/>
      <c r="AB21" s="343"/>
      <c r="AC21" s="343">
        <f t="shared" si="0"/>
        <v>1</v>
      </c>
      <c r="AD21" s="278" t="s">
        <v>51</v>
      </c>
      <c r="AE21" s="278" t="s">
        <v>67</v>
      </c>
      <c r="AF21" s="342" t="s">
        <v>31</v>
      </c>
      <c r="AG21" s="402">
        <v>0.2</v>
      </c>
      <c r="AH21" s="344">
        <f t="shared" si="1"/>
        <v>320867.25</v>
      </c>
    </row>
    <row r="22" spans="1:34" s="229" customFormat="1" ht="26">
      <c r="A22" s="342" t="s">
        <v>34</v>
      </c>
      <c r="B22" s="347" t="s">
        <v>153</v>
      </c>
      <c r="C22" s="279" t="s">
        <v>153</v>
      </c>
      <c r="D22" s="278">
        <v>0.107</v>
      </c>
      <c r="E22" s="278"/>
      <c r="F22" s="279"/>
      <c r="G22" s="343"/>
      <c r="H22" s="343"/>
      <c r="I22" s="343"/>
      <c r="J22" s="343"/>
      <c r="K22" s="343"/>
      <c r="L22" s="345"/>
      <c r="M22" s="343"/>
      <c r="N22" s="343"/>
      <c r="O22" s="343"/>
      <c r="P22" s="343"/>
      <c r="Q22" s="343"/>
      <c r="R22" s="343"/>
      <c r="S22" s="343"/>
      <c r="T22" s="343"/>
      <c r="U22" s="343"/>
      <c r="V22" s="343">
        <v>1</v>
      </c>
      <c r="W22" s="343"/>
      <c r="X22" s="343"/>
      <c r="Y22" s="343"/>
      <c r="Z22" s="343"/>
      <c r="AA22" s="343"/>
      <c r="AB22" s="343"/>
      <c r="AC22" s="343">
        <f t="shared" si="0"/>
        <v>1</v>
      </c>
      <c r="AD22" s="278" t="s">
        <v>1</v>
      </c>
      <c r="AE22" s="278" t="s">
        <v>67</v>
      </c>
      <c r="AF22" s="342" t="s">
        <v>31</v>
      </c>
      <c r="AG22" s="278">
        <v>0.107</v>
      </c>
      <c r="AH22" s="344">
        <f t="shared" si="1"/>
        <v>320867.25</v>
      </c>
    </row>
    <row r="23" spans="1:34" s="229" customFormat="1" ht="26">
      <c r="A23" s="342" t="s">
        <v>154</v>
      </c>
      <c r="B23" s="347" t="s">
        <v>184</v>
      </c>
      <c r="C23" s="279" t="s">
        <v>184</v>
      </c>
      <c r="D23" s="278"/>
      <c r="E23" s="278"/>
      <c r="F23" s="279"/>
      <c r="G23" s="343"/>
      <c r="H23" s="343"/>
      <c r="I23" s="343"/>
      <c r="J23" s="343"/>
      <c r="K23" s="343"/>
      <c r="L23" s="345"/>
      <c r="M23" s="343"/>
      <c r="N23" s="343"/>
      <c r="O23" s="343"/>
      <c r="P23" s="343"/>
      <c r="Q23" s="343"/>
      <c r="R23" s="343"/>
      <c r="S23" s="343"/>
      <c r="T23" s="343"/>
      <c r="U23" s="343"/>
      <c r="V23" s="343"/>
      <c r="W23" s="343"/>
      <c r="X23" s="343"/>
      <c r="Y23" s="343"/>
      <c r="Z23" s="343"/>
      <c r="AA23" s="343"/>
      <c r="AB23" s="343"/>
      <c r="AC23" s="343">
        <f t="shared" si="0"/>
        <v>0</v>
      </c>
      <c r="AD23" s="278"/>
      <c r="AE23" s="278"/>
      <c r="AF23" s="342"/>
      <c r="AG23" s="278"/>
      <c r="AH23" s="344"/>
    </row>
    <row r="24" spans="1:34" s="231" customFormat="1" ht="14">
      <c r="A24" s="346">
        <v>4.0999999999999996</v>
      </c>
      <c r="B24" s="365" t="s">
        <v>185</v>
      </c>
      <c r="C24" s="279" t="s">
        <v>185</v>
      </c>
      <c r="D24" s="278">
        <v>1.6E-2</v>
      </c>
      <c r="E24" s="346"/>
      <c r="F24" s="347"/>
      <c r="G24" s="346"/>
      <c r="H24" s="346"/>
      <c r="I24" s="346"/>
      <c r="J24" s="346"/>
      <c r="K24" s="346"/>
      <c r="L24" s="346"/>
      <c r="M24" s="346"/>
      <c r="N24" s="357"/>
      <c r="O24" s="357"/>
      <c r="P24" s="357"/>
      <c r="Q24" s="357"/>
      <c r="R24" s="346"/>
      <c r="S24" s="346"/>
      <c r="T24" s="346"/>
      <c r="U24" s="346">
        <v>1</v>
      </c>
      <c r="V24" s="346"/>
      <c r="W24" s="346"/>
      <c r="X24" s="346"/>
      <c r="Y24" s="346"/>
      <c r="Z24" s="346"/>
      <c r="AA24" s="346"/>
      <c r="AB24" s="346"/>
      <c r="AC24" s="343">
        <f t="shared" si="0"/>
        <v>1</v>
      </c>
      <c r="AD24" s="346" t="s">
        <v>444</v>
      </c>
      <c r="AE24" s="346" t="s">
        <v>66</v>
      </c>
      <c r="AF24" s="350" t="s">
        <v>31</v>
      </c>
      <c r="AG24" s="346">
        <v>1.6E-2</v>
      </c>
      <c r="AH24" s="358">
        <f t="shared" si="1"/>
        <v>281209.5</v>
      </c>
    </row>
    <row r="25" spans="1:34" s="231" customFormat="1" ht="14">
      <c r="A25" s="346">
        <v>4.2</v>
      </c>
      <c r="B25" s="399" t="s">
        <v>186</v>
      </c>
      <c r="C25" s="279" t="s">
        <v>186</v>
      </c>
      <c r="D25" s="278">
        <v>8.0000000000000002E-3</v>
      </c>
      <c r="E25" s="346"/>
      <c r="F25" s="347"/>
      <c r="G25" s="346"/>
      <c r="H25" s="346"/>
      <c r="I25" s="346"/>
      <c r="J25" s="346"/>
      <c r="K25" s="346"/>
      <c r="L25" s="346"/>
      <c r="M25" s="346"/>
      <c r="N25" s="357"/>
      <c r="O25" s="357"/>
      <c r="P25" s="357"/>
      <c r="Q25" s="357"/>
      <c r="R25" s="346"/>
      <c r="S25" s="346"/>
      <c r="T25" s="346"/>
      <c r="U25" s="346">
        <v>1</v>
      </c>
      <c r="V25" s="346"/>
      <c r="W25" s="346"/>
      <c r="X25" s="346"/>
      <c r="Y25" s="346"/>
      <c r="Z25" s="346"/>
      <c r="AA25" s="346"/>
      <c r="AB25" s="346"/>
      <c r="AC25" s="343">
        <f t="shared" si="0"/>
        <v>1</v>
      </c>
      <c r="AD25" s="346" t="s">
        <v>444</v>
      </c>
      <c r="AE25" s="346" t="s">
        <v>66</v>
      </c>
      <c r="AF25" s="350" t="s">
        <v>31</v>
      </c>
      <c r="AG25" s="346">
        <v>8.0000000000000002E-3</v>
      </c>
      <c r="AH25" s="358">
        <f t="shared" si="1"/>
        <v>281209.5</v>
      </c>
    </row>
    <row r="26" spans="1:34" s="231" customFormat="1" ht="39">
      <c r="A26" s="346">
        <v>5</v>
      </c>
      <c r="B26" s="365" t="s">
        <v>187</v>
      </c>
      <c r="C26" s="279" t="s">
        <v>187</v>
      </c>
      <c r="D26" s="278">
        <v>4.0000000000000001E-3</v>
      </c>
      <c r="E26" s="346"/>
      <c r="F26" s="347"/>
      <c r="G26" s="346"/>
      <c r="H26" s="346"/>
      <c r="I26" s="346"/>
      <c r="J26" s="346"/>
      <c r="K26" s="346"/>
      <c r="L26" s="346"/>
      <c r="M26" s="346"/>
      <c r="N26" s="357"/>
      <c r="O26" s="357"/>
      <c r="P26" s="357"/>
      <c r="Q26" s="357"/>
      <c r="R26" s="346"/>
      <c r="S26" s="346"/>
      <c r="T26" s="346"/>
      <c r="U26" s="346">
        <v>1</v>
      </c>
      <c r="V26" s="346"/>
      <c r="W26" s="346"/>
      <c r="X26" s="346"/>
      <c r="Y26" s="346"/>
      <c r="Z26" s="346"/>
      <c r="AA26" s="346"/>
      <c r="AB26" s="346"/>
      <c r="AC26" s="343">
        <f t="shared" si="0"/>
        <v>1</v>
      </c>
      <c r="AD26" s="346" t="s">
        <v>444</v>
      </c>
      <c r="AE26" s="346" t="s">
        <v>66</v>
      </c>
      <c r="AF26" s="350" t="s">
        <v>31</v>
      </c>
      <c r="AG26" s="346">
        <v>4.0000000000000001E-3</v>
      </c>
      <c r="AH26" s="358">
        <f t="shared" si="1"/>
        <v>281209.5</v>
      </c>
    </row>
    <row r="27" spans="1:34" s="183" customFormat="1" ht="39">
      <c r="A27" s="346">
        <v>6</v>
      </c>
      <c r="B27" s="347" t="s">
        <v>496</v>
      </c>
      <c r="C27" s="279" t="s">
        <v>677</v>
      </c>
      <c r="D27" s="278"/>
      <c r="E27" s="346"/>
      <c r="F27" s="347"/>
      <c r="G27" s="346"/>
      <c r="H27" s="346"/>
      <c r="I27" s="346"/>
      <c r="J27" s="346"/>
      <c r="K27" s="346"/>
      <c r="L27" s="346"/>
      <c r="M27" s="346"/>
      <c r="N27" s="357"/>
      <c r="O27" s="357"/>
      <c r="P27" s="357"/>
      <c r="Q27" s="357"/>
      <c r="R27" s="346"/>
      <c r="S27" s="346"/>
      <c r="T27" s="346"/>
      <c r="U27" s="346"/>
      <c r="V27" s="346"/>
      <c r="W27" s="346"/>
      <c r="X27" s="346"/>
      <c r="Y27" s="346"/>
      <c r="Z27" s="346"/>
      <c r="AA27" s="346"/>
      <c r="AB27" s="346"/>
      <c r="AC27" s="343">
        <f t="shared" si="0"/>
        <v>0</v>
      </c>
      <c r="AD27" s="346"/>
      <c r="AE27" s="346"/>
      <c r="AF27" s="350"/>
      <c r="AG27" s="346"/>
      <c r="AH27" s="358"/>
    </row>
    <row r="28" spans="1:34" s="183" customFormat="1">
      <c r="A28" s="346">
        <v>6.1</v>
      </c>
      <c r="B28" s="347" t="s">
        <v>163</v>
      </c>
      <c r="C28" s="279" t="s">
        <v>163</v>
      </c>
      <c r="D28" s="278">
        <v>2.5000000000000001E-2</v>
      </c>
      <c r="E28" s="346"/>
      <c r="F28" s="347"/>
      <c r="G28" s="346"/>
      <c r="H28" s="346"/>
      <c r="I28" s="346"/>
      <c r="J28" s="346"/>
      <c r="K28" s="346"/>
      <c r="L28" s="346"/>
      <c r="M28" s="346"/>
      <c r="N28" s="357"/>
      <c r="O28" s="357"/>
      <c r="P28" s="357"/>
      <c r="Q28" s="357"/>
      <c r="R28" s="346"/>
      <c r="S28" s="346"/>
      <c r="T28" s="346"/>
      <c r="U28" s="346"/>
      <c r="V28" s="346">
        <v>1</v>
      </c>
      <c r="W28" s="346"/>
      <c r="X28" s="346"/>
      <c r="Y28" s="346"/>
      <c r="Z28" s="346"/>
      <c r="AA28" s="346"/>
      <c r="AB28" s="346"/>
      <c r="AC28" s="343">
        <f t="shared" si="0"/>
        <v>1</v>
      </c>
      <c r="AD28" s="346" t="s">
        <v>1</v>
      </c>
      <c r="AE28" s="346" t="s">
        <v>67</v>
      </c>
      <c r="AF28" s="350" t="s">
        <v>31</v>
      </c>
      <c r="AG28" s="595">
        <v>0.04</v>
      </c>
      <c r="AH28" s="351">
        <f>(E28*E$6+F28*F$6+G28*G$6+H28*H$6+I28*I$6+J28*J$6+K28*K$6+L28*L$6+M28*M$6+N28*N$6+O28*O$6+P28*P$6+Q28*Q$6+R28*R$6+S28*S$6+T28*T$6+U28*U$6+V28*V$6+W28*W$6+X28*X$6+Y28*Y$6+Z28*Z$6+AA28*AA$6+AB28*AB$6)</f>
        <v>320867.25</v>
      </c>
    </row>
    <row r="29" spans="1:34" s="183" customFormat="1">
      <c r="A29" s="346">
        <v>6.2</v>
      </c>
      <c r="B29" s="312" t="s">
        <v>164</v>
      </c>
      <c r="C29" s="279" t="s">
        <v>164</v>
      </c>
      <c r="D29" s="278">
        <v>0.05</v>
      </c>
      <c r="E29" s="346"/>
      <c r="F29" s="347"/>
      <c r="G29" s="346"/>
      <c r="H29" s="346"/>
      <c r="I29" s="346"/>
      <c r="J29" s="346"/>
      <c r="K29" s="346"/>
      <c r="L29" s="346"/>
      <c r="M29" s="346"/>
      <c r="N29" s="357"/>
      <c r="O29" s="357"/>
      <c r="P29" s="357"/>
      <c r="Q29" s="357"/>
      <c r="R29" s="346"/>
      <c r="S29" s="346"/>
      <c r="T29" s="346"/>
      <c r="U29" s="346"/>
      <c r="V29" s="346">
        <v>1</v>
      </c>
      <c r="W29" s="346"/>
      <c r="X29" s="346"/>
      <c r="Y29" s="346"/>
      <c r="Z29" s="346"/>
      <c r="AA29" s="346"/>
      <c r="AB29" s="346"/>
      <c r="AC29" s="343">
        <f t="shared" si="0"/>
        <v>1</v>
      </c>
      <c r="AD29" s="346" t="s">
        <v>1</v>
      </c>
      <c r="AE29" s="346" t="s">
        <v>67</v>
      </c>
      <c r="AF29" s="350" t="s">
        <v>31</v>
      </c>
      <c r="AG29" s="595">
        <v>0.08</v>
      </c>
      <c r="AH29" s="351">
        <f>(E29*E$6+F29*F$6+G29*G$6+H29*H$6+I29*I$6+J29*J$6+K29*K$6+L29*L$6+M29*M$6+N29*N$6+O29*O$6+P29*P$6+Q29*Q$6+R29*R$6+S29*S$6+T29*T$6+U29*U$6+V29*V$6+W29*W$6+X29*X$6+Y29*Y$6+Z29*Z$6+AA29*AA$6+AB29*AB$6)</f>
        <v>320867.25</v>
      </c>
    </row>
    <row r="30" spans="1:34" s="593" customFormat="1" ht="12.75" customHeight="1">
      <c r="A30" s="898" t="s">
        <v>157</v>
      </c>
      <c r="B30" s="886" t="s">
        <v>512</v>
      </c>
      <c r="C30" s="886" t="s">
        <v>512</v>
      </c>
      <c r="D30" s="278">
        <v>0.20599999999999999</v>
      </c>
      <c r="E30" s="588"/>
      <c r="F30" s="589"/>
      <c r="G30" s="590"/>
      <c r="H30" s="590"/>
      <c r="I30" s="590"/>
      <c r="J30" s="590"/>
      <c r="K30" s="590"/>
      <c r="L30" s="591">
        <v>1</v>
      </c>
      <c r="M30" s="590"/>
      <c r="N30" s="590"/>
      <c r="O30" s="590"/>
      <c r="P30" s="590"/>
      <c r="Q30" s="590"/>
      <c r="R30" s="590"/>
      <c r="S30" s="590"/>
      <c r="T30" s="590"/>
      <c r="U30" s="590"/>
      <c r="V30" s="590">
        <v>1</v>
      </c>
      <c r="W30" s="590"/>
      <c r="X30" s="590"/>
      <c r="Y30" s="590"/>
      <c r="Z30" s="590"/>
      <c r="AA30" s="590"/>
      <c r="AB30" s="590"/>
      <c r="AC30" s="590">
        <f t="shared" si="0"/>
        <v>2</v>
      </c>
      <c r="AD30" s="895" t="s">
        <v>51</v>
      </c>
      <c r="AE30" s="588" t="s">
        <v>438</v>
      </c>
      <c r="AF30" s="896" t="s">
        <v>32</v>
      </c>
      <c r="AG30" s="594">
        <v>0.45</v>
      </c>
      <c r="AH30" s="592">
        <f t="shared" si="1"/>
        <v>616497.75</v>
      </c>
    </row>
    <row r="31" spans="1:34" s="593" customFormat="1" ht="15" customHeight="1">
      <c r="A31" s="899"/>
      <c r="B31" s="887"/>
      <c r="C31" s="887"/>
      <c r="D31" s="278">
        <v>0.122</v>
      </c>
      <c r="E31" s="588">
        <v>1</v>
      </c>
      <c r="F31" s="589"/>
      <c r="G31" s="590"/>
      <c r="H31" s="590"/>
      <c r="I31" s="590"/>
      <c r="J31" s="590"/>
      <c r="K31" s="590"/>
      <c r="L31" s="591"/>
      <c r="M31" s="590"/>
      <c r="N31" s="590"/>
      <c r="O31" s="590"/>
      <c r="P31" s="590"/>
      <c r="Q31" s="590"/>
      <c r="R31" s="590"/>
      <c r="S31" s="590"/>
      <c r="T31" s="590"/>
      <c r="U31" s="590"/>
      <c r="V31" s="590"/>
      <c r="W31" s="590"/>
      <c r="X31" s="590"/>
      <c r="Y31" s="590"/>
      <c r="Z31" s="590"/>
      <c r="AA31" s="590"/>
      <c r="AB31" s="590"/>
      <c r="AC31" s="590">
        <f t="shared" si="0"/>
        <v>1</v>
      </c>
      <c r="AD31" s="895"/>
      <c r="AE31" s="588" t="s">
        <v>197</v>
      </c>
      <c r="AF31" s="896"/>
      <c r="AG31" s="594">
        <v>0.25</v>
      </c>
      <c r="AH31" s="592">
        <f t="shared" si="1"/>
        <v>151259</v>
      </c>
    </row>
    <row r="32" spans="1:34" s="593" customFormat="1" ht="15" customHeight="1">
      <c r="A32" s="899"/>
      <c r="B32" s="887"/>
      <c r="C32" s="887"/>
      <c r="D32" s="278">
        <v>0.23699999999999999</v>
      </c>
      <c r="E32" s="588"/>
      <c r="F32" s="589"/>
      <c r="G32" s="590"/>
      <c r="H32" s="590"/>
      <c r="I32" s="590"/>
      <c r="J32" s="590"/>
      <c r="K32" s="590"/>
      <c r="L32" s="591">
        <v>1</v>
      </c>
      <c r="M32" s="590"/>
      <c r="N32" s="590"/>
      <c r="O32" s="590"/>
      <c r="P32" s="590"/>
      <c r="Q32" s="590"/>
      <c r="R32" s="590"/>
      <c r="S32" s="590"/>
      <c r="T32" s="590"/>
      <c r="U32" s="590"/>
      <c r="V32" s="590">
        <v>1</v>
      </c>
      <c r="W32" s="590"/>
      <c r="X32" s="590"/>
      <c r="Y32" s="590"/>
      <c r="Z32" s="590"/>
      <c r="AA32" s="590"/>
      <c r="AB32" s="590"/>
      <c r="AC32" s="590">
        <f t="shared" si="0"/>
        <v>2</v>
      </c>
      <c r="AD32" s="895"/>
      <c r="AE32" s="588" t="s">
        <v>438</v>
      </c>
      <c r="AF32" s="896" t="s">
        <v>33</v>
      </c>
      <c r="AG32" s="594">
        <v>0.54</v>
      </c>
      <c r="AH32" s="592">
        <f t="shared" si="1"/>
        <v>616497.75</v>
      </c>
    </row>
    <row r="33" spans="1:34" s="593" customFormat="1" ht="15" customHeight="1">
      <c r="A33" s="899"/>
      <c r="B33" s="887"/>
      <c r="C33" s="887"/>
      <c r="D33" s="278">
        <v>0.14000000000000001</v>
      </c>
      <c r="E33" s="588">
        <v>1</v>
      </c>
      <c r="F33" s="589"/>
      <c r="G33" s="590"/>
      <c r="H33" s="590"/>
      <c r="I33" s="590"/>
      <c r="J33" s="590"/>
      <c r="K33" s="590"/>
      <c r="L33" s="591"/>
      <c r="M33" s="590"/>
      <c r="N33" s="590"/>
      <c r="O33" s="590"/>
      <c r="P33" s="590"/>
      <c r="Q33" s="590"/>
      <c r="R33" s="590"/>
      <c r="S33" s="590"/>
      <c r="T33" s="590"/>
      <c r="U33" s="590"/>
      <c r="V33" s="590"/>
      <c r="W33" s="590"/>
      <c r="X33" s="590"/>
      <c r="Y33" s="590"/>
      <c r="Z33" s="590"/>
      <c r="AA33" s="590"/>
      <c r="AB33" s="590"/>
      <c r="AC33" s="590">
        <f t="shared" si="0"/>
        <v>1</v>
      </c>
      <c r="AD33" s="895"/>
      <c r="AE33" s="588" t="s">
        <v>197</v>
      </c>
      <c r="AF33" s="896"/>
      <c r="AG33" s="594">
        <v>0.3</v>
      </c>
      <c r="AH33" s="592">
        <f t="shared" si="1"/>
        <v>151259</v>
      </c>
    </row>
    <row r="34" spans="1:34" s="593" customFormat="1" ht="15" customHeight="1">
      <c r="A34" s="899"/>
      <c r="B34" s="887"/>
      <c r="C34" s="887"/>
      <c r="D34" s="278">
        <v>0.27300000000000002</v>
      </c>
      <c r="E34" s="588"/>
      <c r="F34" s="589"/>
      <c r="G34" s="590"/>
      <c r="H34" s="590"/>
      <c r="I34" s="590"/>
      <c r="J34" s="590"/>
      <c r="K34" s="590"/>
      <c r="L34" s="591">
        <v>1</v>
      </c>
      <c r="M34" s="590"/>
      <c r="N34" s="590"/>
      <c r="O34" s="590"/>
      <c r="P34" s="590"/>
      <c r="Q34" s="590"/>
      <c r="R34" s="590"/>
      <c r="S34" s="590"/>
      <c r="T34" s="590"/>
      <c r="U34" s="590"/>
      <c r="V34" s="590">
        <v>1</v>
      </c>
      <c r="W34" s="590"/>
      <c r="X34" s="590"/>
      <c r="Y34" s="590"/>
      <c r="Z34" s="590"/>
      <c r="AA34" s="590"/>
      <c r="AB34" s="590"/>
      <c r="AC34" s="590">
        <f t="shared" si="0"/>
        <v>2</v>
      </c>
      <c r="AD34" s="895"/>
      <c r="AE34" s="588" t="s">
        <v>438</v>
      </c>
      <c r="AF34" s="896" t="s">
        <v>34</v>
      </c>
      <c r="AG34" s="594">
        <v>0.64800000000000002</v>
      </c>
      <c r="AH34" s="592">
        <f t="shared" si="1"/>
        <v>616497.75</v>
      </c>
    </row>
    <row r="35" spans="1:34" s="593" customFormat="1" ht="15" customHeight="1">
      <c r="A35" s="900"/>
      <c r="B35" s="888"/>
      <c r="C35" s="888"/>
      <c r="D35" s="278">
        <v>0.161</v>
      </c>
      <c r="E35" s="588">
        <v>1</v>
      </c>
      <c r="F35" s="589"/>
      <c r="G35" s="590"/>
      <c r="H35" s="590"/>
      <c r="I35" s="590"/>
      <c r="J35" s="590"/>
      <c r="K35" s="590"/>
      <c r="L35" s="591"/>
      <c r="M35" s="590"/>
      <c r="N35" s="590"/>
      <c r="O35" s="590"/>
      <c r="P35" s="590"/>
      <c r="Q35" s="590"/>
      <c r="R35" s="590"/>
      <c r="S35" s="590"/>
      <c r="T35" s="590"/>
      <c r="U35" s="590"/>
      <c r="V35" s="590"/>
      <c r="W35" s="590"/>
      <c r="X35" s="590"/>
      <c r="Y35" s="590"/>
      <c r="Z35" s="590"/>
      <c r="AA35" s="590"/>
      <c r="AB35" s="590"/>
      <c r="AC35" s="590">
        <f t="shared" si="0"/>
        <v>1</v>
      </c>
      <c r="AD35" s="895"/>
      <c r="AE35" s="588" t="s">
        <v>197</v>
      </c>
      <c r="AF35" s="896"/>
      <c r="AG35" s="594">
        <v>0.36</v>
      </c>
      <c r="AH35" s="592">
        <f t="shared" si="1"/>
        <v>151259</v>
      </c>
    </row>
    <row r="36" spans="1:34" ht="18" customHeight="1">
      <c r="A36" s="904" t="s">
        <v>158</v>
      </c>
      <c r="B36" s="901" t="s">
        <v>513</v>
      </c>
      <c r="C36" s="612" t="s">
        <v>678</v>
      </c>
      <c r="D36" s="278">
        <v>1</v>
      </c>
      <c r="E36" s="278"/>
      <c r="F36" s="279"/>
      <c r="G36" s="343"/>
      <c r="H36" s="343"/>
      <c r="I36" s="343"/>
      <c r="J36" s="343"/>
      <c r="K36" s="343"/>
      <c r="L36" s="345">
        <v>1</v>
      </c>
      <c r="M36" s="343"/>
      <c r="N36" s="343"/>
      <c r="O36" s="343"/>
      <c r="P36" s="343"/>
      <c r="Q36" s="343"/>
      <c r="R36" s="343"/>
      <c r="S36" s="343"/>
      <c r="T36" s="343"/>
      <c r="U36" s="343"/>
      <c r="V36" s="343">
        <v>1</v>
      </c>
      <c r="W36" s="343"/>
      <c r="X36" s="343"/>
      <c r="Y36" s="343"/>
      <c r="Z36" s="343"/>
      <c r="AA36" s="343"/>
      <c r="AB36" s="343"/>
      <c r="AC36" s="343">
        <f t="shared" si="0"/>
        <v>2</v>
      </c>
      <c r="AD36" s="889" t="s">
        <v>51</v>
      </c>
      <c r="AE36" s="278" t="s">
        <v>438</v>
      </c>
      <c r="AF36" s="897" t="s">
        <v>32</v>
      </c>
      <c r="AG36" s="594">
        <v>1.1000000000000001</v>
      </c>
      <c r="AH36" s="344">
        <f t="shared" ref="AH36:AH41" si="2">(E36*E$6+F36*F$6+G36*G$6+H36*H$6+I36*I$6+J36*J$6+K36*K$6+L36*L$6+M36*M$6+N36*N$6+O36*O$6+P36*P$6+Q36*Q$6+R36*R$6+S36*S$6+T36*T$6+U36*U$6+V36*V$6+W36*W$6+X36*X$6+Y36*Y$6+Z36*Z$6+AA36*AA$6+AB36*AB$6)</f>
        <v>616497.75</v>
      </c>
    </row>
    <row r="37" spans="1:34" ht="15" customHeight="1">
      <c r="A37" s="905"/>
      <c r="B37" s="902"/>
      <c r="C37" s="613"/>
      <c r="D37" s="278">
        <v>0.59</v>
      </c>
      <c r="E37" s="278">
        <v>1</v>
      </c>
      <c r="F37" s="279"/>
      <c r="G37" s="343"/>
      <c r="H37" s="343"/>
      <c r="I37" s="343"/>
      <c r="J37" s="343"/>
      <c r="K37" s="343"/>
      <c r="L37" s="345"/>
      <c r="M37" s="343"/>
      <c r="N37" s="343"/>
      <c r="O37" s="343"/>
      <c r="P37" s="343"/>
      <c r="Q37" s="343"/>
      <c r="R37" s="343"/>
      <c r="S37" s="343"/>
      <c r="T37" s="343"/>
      <c r="U37" s="343"/>
      <c r="V37" s="343"/>
      <c r="W37" s="343"/>
      <c r="X37" s="343"/>
      <c r="Y37" s="343"/>
      <c r="Z37" s="343"/>
      <c r="AA37" s="343"/>
      <c r="AB37" s="343"/>
      <c r="AC37" s="343">
        <f t="shared" si="0"/>
        <v>1</v>
      </c>
      <c r="AD37" s="889"/>
      <c r="AE37" s="278" t="s">
        <v>197</v>
      </c>
      <c r="AF37" s="897"/>
      <c r="AG37" s="594">
        <v>0.61</v>
      </c>
      <c r="AH37" s="344">
        <f t="shared" si="2"/>
        <v>151259</v>
      </c>
    </row>
    <row r="38" spans="1:34" ht="15" customHeight="1">
      <c r="A38" s="905"/>
      <c r="B38" s="902"/>
      <c r="C38" s="613"/>
      <c r="D38" s="278">
        <v>1.1000000000000001</v>
      </c>
      <c r="E38" s="278"/>
      <c r="F38" s="279"/>
      <c r="G38" s="343"/>
      <c r="H38" s="343"/>
      <c r="I38" s="343"/>
      <c r="J38" s="343"/>
      <c r="K38" s="343"/>
      <c r="L38" s="345">
        <v>1</v>
      </c>
      <c r="M38" s="343"/>
      <c r="N38" s="343"/>
      <c r="O38" s="343"/>
      <c r="P38" s="343"/>
      <c r="Q38" s="343"/>
      <c r="R38" s="343"/>
      <c r="S38" s="343"/>
      <c r="T38" s="343"/>
      <c r="U38" s="343"/>
      <c r="V38" s="343">
        <v>1</v>
      </c>
      <c r="W38" s="343"/>
      <c r="X38" s="343"/>
      <c r="Y38" s="343"/>
      <c r="Z38" s="343"/>
      <c r="AA38" s="343"/>
      <c r="AB38" s="343"/>
      <c r="AC38" s="343">
        <f t="shared" si="0"/>
        <v>2</v>
      </c>
      <c r="AD38" s="889"/>
      <c r="AE38" s="278" t="s">
        <v>438</v>
      </c>
      <c r="AF38" s="897" t="s">
        <v>33</v>
      </c>
      <c r="AG38" s="594">
        <v>1.21</v>
      </c>
      <c r="AH38" s="344">
        <f t="shared" si="2"/>
        <v>616497.75</v>
      </c>
    </row>
    <row r="39" spans="1:34" ht="15" customHeight="1">
      <c r="A39" s="905"/>
      <c r="B39" s="902"/>
      <c r="C39" s="613"/>
      <c r="D39" s="278">
        <v>0.65</v>
      </c>
      <c r="E39" s="278">
        <v>1</v>
      </c>
      <c r="F39" s="279"/>
      <c r="G39" s="343"/>
      <c r="H39" s="343"/>
      <c r="I39" s="343"/>
      <c r="J39" s="343"/>
      <c r="K39" s="343"/>
      <c r="L39" s="345"/>
      <c r="M39" s="343"/>
      <c r="N39" s="343"/>
      <c r="O39" s="343"/>
      <c r="P39" s="343"/>
      <c r="Q39" s="343"/>
      <c r="R39" s="343"/>
      <c r="S39" s="343"/>
      <c r="T39" s="343"/>
      <c r="U39" s="343"/>
      <c r="V39" s="343"/>
      <c r="W39" s="343"/>
      <c r="X39" s="343"/>
      <c r="Y39" s="343"/>
      <c r="Z39" s="343"/>
      <c r="AA39" s="343"/>
      <c r="AB39" s="343"/>
      <c r="AC39" s="343">
        <f t="shared" si="0"/>
        <v>1</v>
      </c>
      <c r="AD39" s="889"/>
      <c r="AE39" s="278" t="s">
        <v>197</v>
      </c>
      <c r="AF39" s="897"/>
      <c r="AG39" s="594">
        <v>0.67</v>
      </c>
      <c r="AH39" s="344">
        <f t="shared" si="2"/>
        <v>151259</v>
      </c>
    </row>
    <row r="40" spans="1:34" ht="15" customHeight="1">
      <c r="A40" s="905"/>
      <c r="B40" s="902"/>
      <c r="C40" s="613"/>
      <c r="D40" s="278">
        <v>1.21</v>
      </c>
      <c r="E40" s="278"/>
      <c r="F40" s="279"/>
      <c r="G40" s="343"/>
      <c r="H40" s="343"/>
      <c r="I40" s="343"/>
      <c r="J40" s="343"/>
      <c r="K40" s="343"/>
      <c r="L40" s="345">
        <v>1</v>
      </c>
      <c r="M40" s="343"/>
      <c r="N40" s="343"/>
      <c r="O40" s="343"/>
      <c r="P40" s="343"/>
      <c r="Q40" s="343"/>
      <c r="R40" s="343"/>
      <c r="S40" s="343"/>
      <c r="T40" s="343"/>
      <c r="U40" s="343"/>
      <c r="V40" s="343">
        <v>1</v>
      </c>
      <c r="W40" s="343"/>
      <c r="X40" s="343"/>
      <c r="Y40" s="343"/>
      <c r="Z40" s="343"/>
      <c r="AA40" s="343"/>
      <c r="AB40" s="343"/>
      <c r="AC40" s="343">
        <f t="shared" si="0"/>
        <v>2</v>
      </c>
      <c r="AD40" s="889"/>
      <c r="AE40" s="278" t="s">
        <v>438</v>
      </c>
      <c r="AF40" s="897" t="s">
        <v>34</v>
      </c>
      <c r="AG40" s="594">
        <v>1.331</v>
      </c>
      <c r="AH40" s="344">
        <f t="shared" si="2"/>
        <v>616497.75</v>
      </c>
    </row>
    <row r="41" spans="1:34" ht="15" customHeight="1">
      <c r="A41" s="906"/>
      <c r="B41" s="903"/>
      <c r="C41" s="614"/>
      <c r="D41" s="278">
        <v>0.71</v>
      </c>
      <c r="E41" s="278">
        <v>1</v>
      </c>
      <c r="F41" s="279"/>
      <c r="G41" s="343"/>
      <c r="H41" s="343"/>
      <c r="I41" s="343"/>
      <c r="J41" s="343"/>
      <c r="K41" s="343"/>
      <c r="L41" s="345"/>
      <c r="M41" s="343"/>
      <c r="N41" s="343"/>
      <c r="O41" s="343"/>
      <c r="P41" s="343"/>
      <c r="Q41" s="343"/>
      <c r="R41" s="343"/>
      <c r="S41" s="343"/>
      <c r="T41" s="343"/>
      <c r="U41" s="343"/>
      <c r="V41" s="343"/>
      <c r="W41" s="343"/>
      <c r="X41" s="343"/>
      <c r="Y41" s="343"/>
      <c r="Z41" s="343"/>
      <c r="AA41" s="343"/>
      <c r="AB41" s="343"/>
      <c r="AC41" s="343">
        <f t="shared" si="0"/>
        <v>1</v>
      </c>
      <c r="AD41" s="889"/>
      <c r="AE41" s="278" t="s">
        <v>197</v>
      </c>
      <c r="AF41" s="897"/>
      <c r="AG41" s="594">
        <v>0.73</v>
      </c>
      <c r="AH41" s="344">
        <f t="shared" si="2"/>
        <v>151259</v>
      </c>
    </row>
    <row r="42" spans="1:34" s="183" customFormat="1" ht="26">
      <c r="A42" s="350" t="s">
        <v>161</v>
      </c>
      <c r="B42" s="347" t="s">
        <v>514</v>
      </c>
      <c r="C42" s="279" t="s">
        <v>514</v>
      </c>
      <c r="D42" s="278">
        <v>0.05</v>
      </c>
      <c r="E42" s="346"/>
      <c r="F42" s="347"/>
      <c r="G42" s="348"/>
      <c r="H42" s="348"/>
      <c r="I42" s="348"/>
      <c r="J42" s="348"/>
      <c r="K42" s="348"/>
      <c r="L42" s="349"/>
      <c r="M42" s="348"/>
      <c r="N42" s="348"/>
      <c r="O42" s="348"/>
      <c r="P42" s="348"/>
      <c r="Q42" s="348"/>
      <c r="R42" s="348"/>
      <c r="S42" s="348"/>
      <c r="T42" s="348"/>
      <c r="U42" s="348"/>
      <c r="V42" s="348">
        <v>1</v>
      </c>
      <c r="W42" s="348"/>
      <c r="X42" s="348"/>
      <c r="Y42" s="348"/>
      <c r="Z42" s="348"/>
      <c r="AA42" s="348"/>
      <c r="AB42" s="348"/>
      <c r="AC42" s="343">
        <f t="shared" si="0"/>
        <v>1</v>
      </c>
      <c r="AD42" s="278" t="s">
        <v>51</v>
      </c>
      <c r="AE42" s="278" t="s">
        <v>67</v>
      </c>
      <c r="AF42" s="350" t="s">
        <v>31</v>
      </c>
      <c r="AG42" s="346">
        <v>0.05</v>
      </c>
      <c r="AH42" s="344">
        <f t="shared" si="1"/>
        <v>320867.25</v>
      </c>
    </row>
    <row r="43" spans="1:34" s="183" customFormat="1" ht="39">
      <c r="A43" s="350" t="s">
        <v>36</v>
      </c>
      <c r="B43" s="347" t="s">
        <v>660</v>
      </c>
      <c r="C43" s="279" t="s">
        <v>679</v>
      </c>
      <c r="D43" s="278">
        <v>1.2999999999999999E-2</v>
      </c>
      <c r="E43" s="346"/>
      <c r="F43" s="347"/>
      <c r="G43" s="348"/>
      <c r="H43" s="348"/>
      <c r="I43" s="348"/>
      <c r="J43" s="348"/>
      <c r="K43" s="348"/>
      <c r="L43" s="349">
        <v>1</v>
      </c>
      <c r="M43" s="348"/>
      <c r="N43" s="348"/>
      <c r="O43" s="348"/>
      <c r="P43" s="348"/>
      <c r="Q43" s="348"/>
      <c r="R43" s="348"/>
      <c r="S43" s="348"/>
      <c r="T43" s="348"/>
      <c r="U43" s="348"/>
      <c r="V43" s="348"/>
      <c r="W43" s="348"/>
      <c r="X43" s="348"/>
      <c r="Y43" s="348"/>
      <c r="Z43" s="348"/>
      <c r="AA43" s="348"/>
      <c r="AB43" s="348"/>
      <c r="AC43" s="416">
        <f t="shared" si="0"/>
        <v>1</v>
      </c>
      <c r="AD43" s="278" t="s">
        <v>51</v>
      </c>
      <c r="AE43" s="278" t="s">
        <v>106</v>
      </c>
      <c r="AF43" s="350" t="s">
        <v>31</v>
      </c>
      <c r="AG43" s="631">
        <v>1.4999999999999999E-2</v>
      </c>
      <c r="AH43" s="344">
        <f t="shared" si="1"/>
        <v>295630.50000000006</v>
      </c>
    </row>
    <row r="44" spans="1:34" ht="26">
      <c r="A44" s="350" t="s">
        <v>37</v>
      </c>
      <c r="B44" s="347" t="s">
        <v>487</v>
      </c>
      <c r="C44" s="279" t="s">
        <v>680</v>
      </c>
      <c r="D44" s="278"/>
      <c r="E44" s="278"/>
      <c r="F44" s="279"/>
      <c r="G44" s="343"/>
      <c r="H44" s="343"/>
      <c r="I44" s="343"/>
      <c r="J44" s="343"/>
      <c r="K44" s="343"/>
      <c r="L44" s="345"/>
      <c r="M44" s="343"/>
      <c r="N44" s="343"/>
      <c r="O44" s="343"/>
      <c r="P44" s="343"/>
      <c r="Q44" s="343"/>
      <c r="R44" s="343"/>
      <c r="S44" s="343"/>
      <c r="T44" s="343"/>
      <c r="U44" s="343"/>
      <c r="V44" s="343"/>
      <c r="W44" s="343"/>
      <c r="X44" s="343"/>
      <c r="Y44" s="343"/>
      <c r="Z44" s="343"/>
      <c r="AA44" s="343"/>
      <c r="AB44" s="343"/>
      <c r="AC44" s="416">
        <f t="shared" si="0"/>
        <v>0</v>
      </c>
      <c r="AD44" s="278"/>
      <c r="AE44" s="278"/>
      <c r="AF44" s="342"/>
      <c r="AG44" s="278"/>
      <c r="AH44" s="344">
        <f t="shared" si="1"/>
        <v>0</v>
      </c>
    </row>
    <row r="45" spans="1:34" s="66" customFormat="1" ht="14">
      <c r="A45" s="400" t="s">
        <v>201</v>
      </c>
      <c r="B45" s="365" t="s">
        <v>149</v>
      </c>
      <c r="C45" s="279" t="s">
        <v>149</v>
      </c>
      <c r="D45" s="278">
        <v>1.4999999999999999E-2</v>
      </c>
      <c r="E45" s="278"/>
      <c r="F45" s="279"/>
      <c r="G45" s="343"/>
      <c r="H45" s="343"/>
      <c r="I45" s="343"/>
      <c r="J45" s="343"/>
      <c r="K45" s="343"/>
      <c r="L45" s="345"/>
      <c r="M45" s="343"/>
      <c r="N45" s="343"/>
      <c r="O45" s="343"/>
      <c r="P45" s="343"/>
      <c r="Q45" s="343"/>
      <c r="R45" s="343"/>
      <c r="S45" s="343"/>
      <c r="T45" s="343"/>
      <c r="U45" s="343"/>
      <c r="V45" s="343"/>
      <c r="W45" s="343">
        <v>1</v>
      </c>
      <c r="X45" s="343"/>
      <c r="Y45" s="343"/>
      <c r="Z45" s="343"/>
      <c r="AA45" s="343"/>
      <c r="AB45" s="343"/>
      <c r="AC45" s="416">
        <f t="shared" si="0"/>
        <v>1</v>
      </c>
      <c r="AD45" s="278" t="s">
        <v>51</v>
      </c>
      <c r="AE45" s="278" t="s">
        <v>104</v>
      </c>
      <c r="AF45" s="342" t="s">
        <v>31</v>
      </c>
      <c r="AG45" s="346">
        <v>1.4999999999999999E-2</v>
      </c>
      <c r="AH45" s="344">
        <f t="shared" si="1"/>
        <v>360525</v>
      </c>
    </row>
    <row r="46" spans="1:34" s="66" customFormat="1" ht="14">
      <c r="A46" s="563" t="s">
        <v>202</v>
      </c>
      <c r="B46" s="564" t="s">
        <v>151</v>
      </c>
      <c r="C46" s="279" t="s">
        <v>151</v>
      </c>
      <c r="D46" s="278">
        <v>0.01</v>
      </c>
      <c r="E46" s="226"/>
      <c r="F46" s="227"/>
      <c r="G46" s="483"/>
      <c r="H46" s="483"/>
      <c r="I46" s="483"/>
      <c r="J46" s="483"/>
      <c r="K46" s="483"/>
      <c r="L46" s="565"/>
      <c r="M46" s="483"/>
      <c r="N46" s="483"/>
      <c r="O46" s="483"/>
      <c r="P46" s="483"/>
      <c r="Q46" s="483"/>
      <c r="R46" s="483"/>
      <c r="S46" s="483"/>
      <c r="T46" s="483"/>
      <c r="U46" s="483"/>
      <c r="V46" s="483"/>
      <c r="W46" s="483">
        <v>1</v>
      </c>
      <c r="X46" s="483"/>
      <c r="Y46" s="483"/>
      <c r="Z46" s="483"/>
      <c r="AA46" s="483"/>
      <c r="AB46" s="483"/>
      <c r="AC46" s="566">
        <f t="shared" si="0"/>
        <v>1</v>
      </c>
      <c r="AD46" s="226" t="s">
        <v>51</v>
      </c>
      <c r="AE46" s="226" t="s">
        <v>104</v>
      </c>
      <c r="AF46" s="224" t="s">
        <v>31</v>
      </c>
      <c r="AG46" s="311">
        <v>0.01</v>
      </c>
      <c r="AH46" s="567">
        <f t="shared" si="1"/>
        <v>360525</v>
      </c>
    </row>
    <row r="47" spans="1:34" ht="26">
      <c r="A47" s="350" t="s">
        <v>179</v>
      </c>
      <c r="B47" s="347" t="s">
        <v>488</v>
      </c>
      <c r="C47" s="279" t="s">
        <v>488</v>
      </c>
      <c r="D47" s="278">
        <v>0.2</v>
      </c>
      <c r="E47" s="278"/>
      <c r="F47" s="279"/>
      <c r="G47" s="343"/>
      <c r="H47" s="343"/>
      <c r="I47" s="343"/>
      <c r="J47" s="343"/>
      <c r="K47" s="343"/>
      <c r="L47" s="345"/>
      <c r="M47" s="343"/>
      <c r="N47" s="343"/>
      <c r="O47" s="343"/>
      <c r="P47" s="343"/>
      <c r="Q47" s="343"/>
      <c r="R47" s="343"/>
      <c r="S47" s="343"/>
      <c r="T47" s="343"/>
      <c r="U47" s="343"/>
      <c r="V47" s="343"/>
      <c r="W47" s="343">
        <v>1</v>
      </c>
      <c r="X47" s="343"/>
      <c r="Y47" s="343"/>
      <c r="Z47" s="343"/>
      <c r="AA47" s="343"/>
      <c r="AB47" s="343"/>
      <c r="AC47" s="416">
        <f t="shared" si="0"/>
        <v>1</v>
      </c>
      <c r="AD47" s="278" t="s">
        <v>1</v>
      </c>
      <c r="AE47" s="278" t="s">
        <v>104</v>
      </c>
      <c r="AF47" s="342" t="s">
        <v>31</v>
      </c>
      <c r="AG47" s="278">
        <v>0.2</v>
      </c>
      <c r="AH47" s="344">
        <f t="shared" si="1"/>
        <v>360525</v>
      </c>
    </row>
    <row r="48" spans="1:34" ht="14">
      <c r="A48" s="350" t="s">
        <v>180</v>
      </c>
      <c r="B48" s="347" t="s">
        <v>515</v>
      </c>
      <c r="C48" s="279" t="s">
        <v>527</v>
      </c>
      <c r="D48" s="278"/>
      <c r="E48" s="278"/>
      <c r="F48" s="279"/>
      <c r="G48" s="343"/>
      <c r="H48" s="343"/>
      <c r="I48" s="343"/>
      <c r="J48" s="343"/>
      <c r="K48" s="343"/>
      <c r="L48" s="345"/>
      <c r="M48" s="343"/>
      <c r="N48" s="343"/>
      <c r="O48" s="343"/>
      <c r="P48" s="343"/>
      <c r="Q48" s="343"/>
      <c r="R48" s="343"/>
      <c r="S48" s="343"/>
      <c r="T48" s="343"/>
      <c r="U48" s="343"/>
      <c r="V48" s="343"/>
      <c r="W48" s="343"/>
      <c r="X48" s="343"/>
      <c r="Y48" s="343"/>
      <c r="Z48" s="343"/>
      <c r="AA48" s="343"/>
      <c r="AB48" s="343"/>
      <c r="AC48" s="416">
        <f t="shared" si="0"/>
        <v>0</v>
      </c>
      <c r="AD48" s="278"/>
      <c r="AE48" s="278"/>
      <c r="AF48" s="342"/>
      <c r="AG48" s="278"/>
      <c r="AH48" s="344"/>
    </row>
    <row r="49" spans="1:34" s="66" customFormat="1" ht="14">
      <c r="A49" s="400" t="s">
        <v>221</v>
      </c>
      <c r="B49" s="365" t="s">
        <v>149</v>
      </c>
      <c r="C49" s="279" t="s">
        <v>149</v>
      </c>
      <c r="D49" s="278">
        <v>0.05</v>
      </c>
      <c r="E49" s="278"/>
      <c r="F49" s="279"/>
      <c r="G49" s="343"/>
      <c r="H49" s="343"/>
      <c r="I49" s="343"/>
      <c r="J49" s="343"/>
      <c r="K49" s="343"/>
      <c r="L49" s="345"/>
      <c r="M49" s="343"/>
      <c r="N49" s="343"/>
      <c r="O49" s="343"/>
      <c r="P49" s="343"/>
      <c r="Q49" s="343"/>
      <c r="R49" s="343"/>
      <c r="S49" s="343"/>
      <c r="T49" s="343"/>
      <c r="U49" s="343"/>
      <c r="V49" s="343"/>
      <c r="W49" s="343">
        <v>1</v>
      </c>
      <c r="X49" s="343"/>
      <c r="Y49" s="343"/>
      <c r="Z49" s="343"/>
      <c r="AA49" s="343"/>
      <c r="AB49" s="343"/>
      <c r="AC49" s="416">
        <f t="shared" si="0"/>
        <v>1</v>
      </c>
      <c r="AD49" s="278" t="s">
        <v>51</v>
      </c>
      <c r="AE49" s="278" t="s">
        <v>104</v>
      </c>
      <c r="AF49" s="342" t="s">
        <v>31</v>
      </c>
      <c r="AG49" s="278">
        <v>0.05</v>
      </c>
      <c r="AH49" s="344">
        <f>(E49*E$6+F49*F$6+G49*G$6+H49*H$6+I49*I$6+J49*J$6+K49*K$6+L49*L$6+M49*M$6+N49*N$6+O49*O$6+P49*P$6+Q49*Q$6+R49*R$6+S49*S$6+T49*T$6+U49*U$6+V49*V$6+W49*W$6+X49*X$6+Y49*Y$6+Z49*Z$6+AA49*AA$6+AB49*AB$6)</f>
        <v>360525</v>
      </c>
    </row>
    <row r="50" spans="1:34" s="66" customFormat="1" ht="14">
      <c r="A50" s="563" t="s">
        <v>222</v>
      </c>
      <c r="B50" s="564" t="s">
        <v>151</v>
      </c>
      <c r="C50" s="279" t="s">
        <v>151</v>
      </c>
      <c r="D50" s="278">
        <v>0.04</v>
      </c>
      <c r="E50" s="226"/>
      <c r="F50" s="227"/>
      <c r="G50" s="483"/>
      <c r="H50" s="483"/>
      <c r="I50" s="483"/>
      <c r="J50" s="483"/>
      <c r="K50" s="483"/>
      <c r="L50" s="565"/>
      <c r="M50" s="483"/>
      <c r="N50" s="483"/>
      <c r="O50" s="483"/>
      <c r="P50" s="483"/>
      <c r="Q50" s="483"/>
      <c r="R50" s="483"/>
      <c r="S50" s="483"/>
      <c r="T50" s="483"/>
      <c r="U50" s="483"/>
      <c r="V50" s="483"/>
      <c r="W50" s="483">
        <v>1</v>
      </c>
      <c r="X50" s="483"/>
      <c r="Y50" s="483"/>
      <c r="Z50" s="483"/>
      <c r="AA50" s="483"/>
      <c r="AB50" s="483"/>
      <c r="AC50" s="566">
        <f t="shared" si="0"/>
        <v>1</v>
      </c>
      <c r="AD50" s="226" t="s">
        <v>51</v>
      </c>
      <c r="AE50" s="226" t="s">
        <v>104</v>
      </c>
      <c r="AF50" s="224" t="s">
        <v>31</v>
      </c>
      <c r="AG50" s="226">
        <v>0.04</v>
      </c>
      <c r="AH50" s="567">
        <f t="shared" si="1"/>
        <v>360525</v>
      </c>
    </row>
    <row r="51" spans="1:34" ht="26">
      <c r="A51" s="350" t="s">
        <v>182</v>
      </c>
      <c r="B51" s="347" t="s">
        <v>516</v>
      </c>
      <c r="C51" s="279" t="s">
        <v>681</v>
      </c>
      <c r="D51" s="278">
        <v>0.05</v>
      </c>
      <c r="E51" s="278"/>
      <c r="F51" s="279"/>
      <c r="G51" s="278"/>
      <c r="H51" s="278"/>
      <c r="I51" s="278"/>
      <c r="J51" s="278"/>
      <c r="K51" s="278"/>
      <c r="L51" s="278"/>
      <c r="M51" s="278"/>
      <c r="N51" s="301"/>
      <c r="O51" s="301"/>
      <c r="P51" s="301"/>
      <c r="Q51" s="301"/>
      <c r="R51" s="278"/>
      <c r="S51" s="278"/>
      <c r="T51" s="278"/>
      <c r="U51" s="278"/>
      <c r="V51" s="278"/>
      <c r="W51" s="278">
        <v>1</v>
      </c>
      <c r="X51" s="278"/>
      <c r="Y51" s="278"/>
      <c r="Z51" s="278"/>
      <c r="AA51" s="278"/>
      <c r="AB51" s="278"/>
      <c r="AC51" s="416">
        <f t="shared" si="0"/>
        <v>1</v>
      </c>
      <c r="AD51" s="278" t="s">
        <v>51</v>
      </c>
      <c r="AE51" s="278" t="s">
        <v>104</v>
      </c>
      <c r="AF51" s="342" t="s">
        <v>31</v>
      </c>
      <c r="AG51" s="346">
        <v>0.05</v>
      </c>
      <c r="AH51" s="351">
        <f t="shared" si="1"/>
        <v>360525</v>
      </c>
    </row>
    <row r="52" spans="1:34" s="309" customFormat="1" ht="39">
      <c r="A52" s="352" t="s">
        <v>189</v>
      </c>
      <c r="B52" s="347" t="s">
        <v>517</v>
      </c>
      <c r="C52" s="279" t="s">
        <v>517</v>
      </c>
      <c r="D52" s="278">
        <v>0.05</v>
      </c>
      <c r="E52" s="353"/>
      <c r="F52" s="354"/>
      <c r="G52" s="353"/>
      <c r="H52" s="353"/>
      <c r="I52" s="353"/>
      <c r="J52" s="353"/>
      <c r="K52" s="353"/>
      <c r="L52" s="353"/>
      <c r="M52" s="353"/>
      <c r="N52" s="355"/>
      <c r="O52" s="355"/>
      <c r="P52" s="355"/>
      <c r="Q52" s="355"/>
      <c r="R52" s="353"/>
      <c r="S52" s="353"/>
      <c r="T52" s="353"/>
      <c r="U52" s="353"/>
      <c r="V52" s="353"/>
      <c r="W52" s="353">
        <v>1</v>
      </c>
      <c r="X52" s="353"/>
      <c r="Y52" s="353"/>
      <c r="Z52" s="353"/>
      <c r="AA52" s="353"/>
      <c r="AB52" s="353"/>
      <c r="AC52" s="416">
        <f t="shared" si="0"/>
        <v>1</v>
      </c>
      <c r="AD52" s="278" t="s">
        <v>51</v>
      </c>
      <c r="AE52" s="278" t="s">
        <v>104</v>
      </c>
      <c r="AF52" s="342" t="s">
        <v>31</v>
      </c>
      <c r="AG52" s="631">
        <v>0.05</v>
      </c>
      <c r="AH52" s="356">
        <f t="shared" si="1"/>
        <v>360525</v>
      </c>
    </row>
    <row r="53" spans="1:34" ht="52">
      <c r="A53" s="350" t="s">
        <v>190</v>
      </c>
      <c r="B53" s="347" t="s">
        <v>518</v>
      </c>
      <c r="C53" s="279" t="s">
        <v>518</v>
      </c>
      <c r="D53" s="278">
        <v>0.05</v>
      </c>
      <c r="E53" s="278"/>
      <c r="F53" s="279"/>
      <c r="G53" s="278"/>
      <c r="H53" s="278"/>
      <c r="I53" s="278"/>
      <c r="J53" s="278"/>
      <c r="K53" s="278"/>
      <c r="L53" s="278"/>
      <c r="M53" s="278"/>
      <c r="N53" s="301"/>
      <c r="O53" s="301"/>
      <c r="P53" s="301"/>
      <c r="Q53" s="301"/>
      <c r="R53" s="278"/>
      <c r="S53" s="278"/>
      <c r="T53" s="278"/>
      <c r="U53" s="278">
        <v>1</v>
      </c>
      <c r="V53" s="278"/>
      <c r="W53" s="278"/>
      <c r="X53" s="278"/>
      <c r="Y53" s="278"/>
      <c r="Z53" s="278"/>
      <c r="AA53" s="278"/>
      <c r="AB53" s="278"/>
      <c r="AC53" s="416">
        <f t="shared" si="0"/>
        <v>1</v>
      </c>
      <c r="AD53" s="278" t="s">
        <v>51</v>
      </c>
      <c r="AE53" s="278" t="s">
        <v>66</v>
      </c>
      <c r="AF53" s="342" t="s">
        <v>31</v>
      </c>
      <c r="AG53" s="595">
        <v>0.02</v>
      </c>
      <c r="AH53" s="351">
        <f t="shared" si="1"/>
        <v>281209.5</v>
      </c>
    </row>
    <row r="54" spans="1:34" ht="39">
      <c r="A54" s="342" t="s">
        <v>205</v>
      </c>
      <c r="B54" s="347" t="s">
        <v>519</v>
      </c>
      <c r="C54" s="279" t="s">
        <v>519</v>
      </c>
      <c r="D54" s="278"/>
      <c r="E54" s="278"/>
      <c r="F54" s="279"/>
      <c r="G54" s="278"/>
      <c r="H54" s="278"/>
      <c r="I54" s="278"/>
      <c r="J54" s="278"/>
      <c r="K54" s="278"/>
      <c r="L54" s="278"/>
      <c r="M54" s="278"/>
      <c r="N54" s="301"/>
      <c r="O54" s="301"/>
      <c r="P54" s="301"/>
      <c r="Q54" s="301"/>
      <c r="R54" s="278"/>
      <c r="S54" s="278"/>
      <c r="T54" s="278"/>
      <c r="U54" s="278"/>
      <c r="V54" s="278"/>
      <c r="W54" s="278"/>
      <c r="X54" s="278"/>
      <c r="Y54" s="278"/>
      <c r="Z54" s="278"/>
      <c r="AA54" s="278"/>
      <c r="AB54" s="278"/>
      <c r="AC54" s="416">
        <f t="shared" si="0"/>
        <v>0</v>
      </c>
      <c r="AD54" s="278"/>
      <c r="AE54" s="278"/>
      <c r="AF54" s="342"/>
      <c r="AG54" s="278"/>
      <c r="AH54" s="351">
        <f t="shared" ref="AH54:AH75" si="3">(E54*E$6+F54*F$6+G54*G$6+H54*H$6+I54*I$6+J54*J$6+K54*K$6+L54*L$6+M54*M$6+N54*N$6+O54*O$6+P54*P$6+Q54*Q$6+R54*R$6+S54*S$6+T54*T$6+U54*U$6+V54*V$6+W54*W$6+X54*X$6+Y54*Y$6+Z54*Z$6+AA54*AA$6+AB54*AB$6)</f>
        <v>0</v>
      </c>
    </row>
    <row r="55" spans="1:34" s="66" customFormat="1" ht="14">
      <c r="A55" s="304" t="s">
        <v>206</v>
      </c>
      <c r="B55" s="347" t="s">
        <v>470</v>
      </c>
      <c r="C55" s="279" t="s">
        <v>470</v>
      </c>
      <c r="D55" s="278">
        <v>0.03</v>
      </c>
      <c r="E55" s="278"/>
      <c r="F55" s="279"/>
      <c r="G55" s="278"/>
      <c r="H55" s="278"/>
      <c r="I55" s="278"/>
      <c r="J55" s="278"/>
      <c r="K55" s="278"/>
      <c r="L55" s="278"/>
      <c r="M55" s="278"/>
      <c r="N55" s="301"/>
      <c r="O55" s="301"/>
      <c r="P55" s="301"/>
      <c r="Q55" s="301"/>
      <c r="R55" s="278"/>
      <c r="S55" s="278"/>
      <c r="T55" s="278"/>
      <c r="U55" s="278"/>
      <c r="V55" s="278"/>
      <c r="W55" s="278">
        <v>1</v>
      </c>
      <c r="X55" s="278"/>
      <c r="Y55" s="278"/>
      <c r="Z55" s="278"/>
      <c r="AA55" s="278"/>
      <c r="AB55" s="278"/>
      <c r="AC55" s="416">
        <f t="shared" si="0"/>
        <v>1</v>
      </c>
      <c r="AD55" s="278" t="s">
        <v>51</v>
      </c>
      <c r="AE55" s="278" t="s">
        <v>104</v>
      </c>
      <c r="AF55" s="342" t="s">
        <v>31</v>
      </c>
      <c r="AG55" s="631">
        <v>0.05</v>
      </c>
      <c r="AH55" s="351">
        <f>(E55*E$6+F55*F$6+G55*G$6+H55*H$6+I55*I$6+J55*J$6+K55*K$6+L55*L$6+M55*M$6+N55*N$6+O55*O$6+P55*P$6+Q55*Q$6+R55*R$6+S55*S$6+T55*T$6+U55*U$6+V55*V$6+W55*W$6+X55*X$6+Y55*Y$6+Z55*Z$6+AA55*AA$6+AB55*AB$6)</f>
        <v>360525</v>
      </c>
    </row>
    <row r="56" spans="1:34" s="66" customFormat="1" ht="14">
      <c r="A56" s="568" t="s">
        <v>207</v>
      </c>
      <c r="B56" s="366" t="s">
        <v>471</v>
      </c>
      <c r="C56" s="279" t="s">
        <v>471</v>
      </c>
      <c r="D56" s="278">
        <v>0.04</v>
      </c>
      <c r="E56" s="226"/>
      <c r="F56" s="227"/>
      <c r="G56" s="226"/>
      <c r="H56" s="226"/>
      <c r="I56" s="226"/>
      <c r="J56" s="226"/>
      <c r="K56" s="226"/>
      <c r="L56" s="226"/>
      <c r="M56" s="226"/>
      <c r="N56" s="363"/>
      <c r="O56" s="363"/>
      <c r="P56" s="363"/>
      <c r="Q56" s="363"/>
      <c r="R56" s="226"/>
      <c r="S56" s="226"/>
      <c r="T56" s="226"/>
      <c r="U56" s="226"/>
      <c r="V56" s="226"/>
      <c r="W56" s="226">
        <v>1</v>
      </c>
      <c r="X56" s="226"/>
      <c r="Y56" s="226"/>
      <c r="Z56" s="226"/>
      <c r="AA56" s="226"/>
      <c r="AB56" s="226"/>
      <c r="AC56" s="566">
        <f t="shared" si="0"/>
        <v>1</v>
      </c>
      <c r="AD56" s="226" t="s">
        <v>51</v>
      </c>
      <c r="AE56" s="226" t="s">
        <v>104</v>
      </c>
      <c r="AF56" s="224" t="s">
        <v>31</v>
      </c>
      <c r="AG56" s="631">
        <v>0.06</v>
      </c>
      <c r="AH56" s="364">
        <f t="shared" si="3"/>
        <v>360525</v>
      </c>
    </row>
    <row r="57" spans="1:34" s="305" customFormat="1" ht="26">
      <c r="A57" s="311">
        <v>18</v>
      </c>
      <c r="B57" s="366" t="s">
        <v>520</v>
      </c>
      <c r="C57" s="606" t="s">
        <v>520</v>
      </c>
      <c r="D57" s="278"/>
      <c r="E57" s="311"/>
      <c r="F57" s="366"/>
      <c r="G57" s="311"/>
      <c r="H57" s="311"/>
      <c r="I57" s="311"/>
      <c r="J57" s="311"/>
      <c r="K57" s="311"/>
      <c r="L57" s="311"/>
      <c r="M57" s="311"/>
      <c r="N57" s="367"/>
      <c r="O57" s="367"/>
      <c r="P57" s="367"/>
      <c r="Q57" s="367"/>
      <c r="R57" s="311"/>
      <c r="S57" s="311"/>
      <c r="T57" s="311"/>
      <c r="U57" s="311"/>
      <c r="V57" s="311"/>
      <c r="W57" s="311"/>
      <c r="X57" s="311"/>
      <c r="Y57" s="311"/>
      <c r="Z57" s="311"/>
      <c r="AA57" s="311"/>
      <c r="AB57" s="311"/>
      <c r="AC57" s="566">
        <f t="shared" si="0"/>
        <v>0</v>
      </c>
      <c r="AD57" s="311"/>
      <c r="AE57" s="311"/>
      <c r="AF57" s="569"/>
      <c r="AG57" s="631"/>
      <c r="AH57" s="374"/>
    </row>
    <row r="58" spans="1:34" s="305" customFormat="1" ht="14">
      <c r="A58" s="311">
        <v>18.100000000000001</v>
      </c>
      <c r="B58" s="366" t="s">
        <v>471</v>
      </c>
      <c r="C58" s="279" t="s">
        <v>471</v>
      </c>
      <c r="D58" s="278">
        <v>0.04</v>
      </c>
      <c r="E58" s="311"/>
      <c r="F58" s="366"/>
      <c r="G58" s="311"/>
      <c r="H58" s="311"/>
      <c r="I58" s="311"/>
      <c r="J58" s="311"/>
      <c r="K58" s="311"/>
      <c r="L58" s="311"/>
      <c r="M58" s="311"/>
      <c r="N58" s="367"/>
      <c r="O58" s="367"/>
      <c r="P58" s="367"/>
      <c r="Q58" s="367"/>
      <c r="R58" s="311"/>
      <c r="S58" s="311"/>
      <c r="T58" s="311"/>
      <c r="U58" s="311"/>
      <c r="V58" s="311">
        <v>1</v>
      </c>
      <c r="W58" s="311"/>
      <c r="X58" s="311"/>
      <c r="Y58" s="311"/>
      <c r="Z58" s="311"/>
      <c r="AA58" s="311"/>
      <c r="AB58" s="311"/>
      <c r="AC58" s="566">
        <f t="shared" si="0"/>
        <v>1</v>
      </c>
      <c r="AD58" s="226" t="s">
        <v>51</v>
      </c>
      <c r="AE58" s="311" t="s">
        <v>67</v>
      </c>
      <c r="AF58" s="569" t="s">
        <v>31</v>
      </c>
      <c r="AG58" s="631">
        <v>0.06</v>
      </c>
      <c r="AH58" s="364">
        <f t="shared" si="3"/>
        <v>320867.25</v>
      </c>
    </row>
    <row r="59" spans="1:34" s="305" customFormat="1" ht="14">
      <c r="A59" s="311">
        <v>18.2</v>
      </c>
      <c r="B59" s="366" t="s">
        <v>470</v>
      </c>
      <c r="C59" s="279" t="s">
        <v>470</v>
      </c>
      <c r="D59" s="278">
        <v>0.03</v>
      </c>
      <c r="E59" s="311"/>
      <c r="F59" s="366"/>
      <c r="G59" s="311"/>
      <c r="H59" s="311"/>
      <c r="I59" s="311"/>
      <c r="J59" s="311"/>
      <c r="K59" s="311"/>
      <c r="L59" s="311"/>
      <c r="M59" s="311"/>
      <c r="N59" s="367"/>
      <c r="O59" s="367"/>
      <c r="P59" s="367"/>
      <c r="Q59" s="367"/>
      <c r="R59" s="311"/>
      <c r="S59" s="311"/>
      <c r="T59" s="311"/>
      <c r="U59" s="311"/>
      <c r="V59" s="311">
        <v>1</v>
      </c>
      <c r="W59" s="311"/>
      <c r="X59" s="311"/>
      <c r="Y59" s="311"/>
      <c r="Z59" s="311"/>
      <c r="AA59" s="311"/>
      <c r="AB59" s="311"/>
      <c r="AC59" s="566">
        <f t="shared" si="0"/>
        <v>1</v>
      </c>
      <c r="AD59" s="226" t="s">
        <v>51</v>
      </c>
      <c r="AE59" s="311" t="s">
        <v>67</v>
      </c>
      <c r="AF59" s="569" t="s">
        <v>31</v>
      </c>
      <c r="AG59" s="631">
        <v>0.05</v>
      </c>
      <c r="AH59" s="364">
        <f t="shared" si="3"/>
        <v>320867.25</v>
      </c>
    </row>
    <row r="60" spans="1:34" ht="26">
      <c r="A60" s="569" t="s">
        <v>266</v>
      </c>
      <c r="B60" s="366" t="s">
        <v>497</v>
      </c>
      <c r="C60" s="279" t="s">
        <v>497</v>
      </c>
      <c r="D60" s="278">
        <v>0.03</v>
      </c>
      <c r="E60" s="226"/>
      <c r="F60" s="227"/>
      <c r="G60" s="226"/>
      <c r="H60" s="226"/>
      <c r="I60" s="226"/>
      <c r="J60" s="226"/>
      <c r="K60" s="226"/>
      <c r="L60" s="226"/>
      <c r="M60" s="226"/>
      <c r="N60" s="363"/>
      <c r="O60" s="363"/>
      <c r="P60" s="363"/>
      <c r="Q60" s="363"/>
      <c r="R60" s="226"/>
      <c r="S60" s="226"/>
      <c r="T60" s="226"/>
      <c r="U60" s="226"/>
      <c r="V60" s="226"/>
      <c r="W60" s="226">
        <v>1</v>
      </c>
      <c r="X60" s="226"/>
      <c r="Y60" s="226"/>
      <c r="Z60" s="226"/>
      <c r="AA60" s="226"/>
      <c r="AB60" s="226"/>
      <c r="AC60" s="566">
        <f t="shared" si="0"/>
        <v>1</v>
      </c>
      <c r="AD60" s="226" t="s">
        <v>1</v>
      </c>
      <c r="AE60" s="226" t="s">
        <v>104</v>
      </c>
      <c r="AF60" s="224" t="s">
        <v>31</v>
      </c>
      <c r="AG60" s="226">
        <v>0.03</v>
      </c>
      <c r="AH60" s="364">
        <f t="shared" si="3"/>
        <v>360525</v>
      </c>
    </row>
    <row r="61" spans="1:34" ht="17.25" customHeight="1">
      <c r="A61" s="569" t="s">
        <v>268</v>
      </c>
      <c r="B61" s="366" t="s">
        <v>173</v>
      </c>
      <c r="C61" s="279" t="s">
        <v>173</v>
      </c>
      <c r="D61" s="278">
        <v>0.2</v>
      </c>
      <c r="E61" s="226"/>
      <c r="F61" s="227"/>
      <c r="G61" s="226"/>
      <c r="H61" s="226"/>
      <c r="I61" s="226"/>
      <c r="J61" s="226"/>
      <c r="K61" s="226"/>
      <c r="L61" s="226"/>
      <c r="M61" s="226"/>
      <c r="N61" s="363"/>
      <c r="O61" s="363"/>
      <c r="P61" s="363"/>
      <c r="Q61" s="363"/>
      <c r="R61" s="226"/>
      <c r="S61" s="226"/>
      <c r="T61" s="226"/>
      <c r="U61" s="226"/>
      <c r="V61" s="226"/>
      <c r="W61" s="226">
        <v>1</v>
      </c>
      <c r="X61" s="226"/>
      <c r="Y61" s="226"/>
      <c r="Z61" s="226"/>
      <c r="AA61" s="226"/>
      <c r="AB61" s="226"/>
      <c r="AC61" s="566">
        <f t="shared" si="0"/>
        <v>1</v>
      </c>
      <c r="AD61" s="226" t="s">
        <v>51</v>
      </c>
      <c r="AE61" s="226" t="s">
        <v>104</v>
      </c>
      <c r="AF61" s="224" t="s">
        <v>31</v>
      </c>
      <c r="AG61" s="226">
        <v>0.2</v>
      </c>
      <c r="AH61" s="364">
        <f t="shared" si="3"/>
        <v>360525</v>
      </c>
    </row>
    <row r="62" spans="1:34" ht="17.25" customHeight="1">
      <c r="A62" s="569" t="s">
        <v>269</v>
      </c>
      <c r="B62" s="366" t="s">
        <v>174</v>
      </c>
      <c r="C62" s="279" t="s">
        <v>174</v>
      </c>
      <c r="D62" s="278"/>
      <c r="E62" s="226"/>
      <c r="F62" s="227"/>
      <c r="G62" s="226"/>
      <c r="H62" s="226"/>
      <c r="I62" s="226"/>
      <c r="J62" s="226"/>
      <c r="K62" s="226"/>
      <c r="L62" s="226"/>
      <c r="M62" s="226"/>
      <c r="N62" s="363"/>
      <c r="O62" s="363"/>
      <c r="P62" s="363"/>
      <c r="Q62" s="363"/>
      <c r="R62" s="226"/>
      <c r="S62" s="226"/>
      <c r="T62" s="226"/>
      <c r="U62" s="226"/>
      <c r="V62" s="226"/>
      <c r="W62" s="226"/>
      <c r="X62" s="226"/>
      <c r="Y62" s="226"/>
      <c r="Z62" s="226"/>
      <c r="AA62" s="226"/>
      <c r="AB62" s="226"/>
      <c r="AC62" s="566">
        <f t="shared" si="0"/>
        <v>0</v>
      </c>
      <c r="AD62" s="226"/>
      <c r="AE62" s="226"/>
      <c r="AF62" s="224"/>
      <c r="AG62" s="226"/>
      <c r="AH62" s="364">
        <f t="shared" si="3"/>
        <v>0</v>
      </c>
    </row>
    <row r="63" spans="1:34" s="66" customFormat="1" ht="17.25" customHeight="1">
      <c r="A63" s="563" t="s">
        <v>840</v>
      </c>
      <c r="B63" s="564" t="s">
        <v>176</v>
      </c>
      <c r="C63" s="279" t="s">
        <v>529</v>
      </c>
      <c r="D63" s="278">
        <v>0.05</v>
      </c>
      <c r="E63" s="226"/>
      <c r="F63" s="227"/>
      <c r="G63" s="226"/>
      <c r="H63" s="226"/>
      <c r="I63" s="226"/>
      <c r="J63" s="226"/>
      <c r="K63" s="226"/>
      <c r="L63" s="226"/>
      <c r="M63" s="226"/>
      <c r="N63" s="363"/>
      <c r="O63" s="363"/>
      <c r="P63" s="363"/>
      <c r="Q63" s="363"/>
      <c r="R63" s="226"/>
      <c r="S63" s="226"/>
      <c r="T63" s="226"/>
      <c r="U63" s="226"/>
      <c r="V63" s="226">
        <v>1</v>
      </c>
      <c r="W63" s="226"/>
      <c r="X63" s="226"/>
      <c r="Y63" s="226"/>
      <c r="Z63" s="226"/>
      <c r="AA63" s="226"/>
      <c r="AB63" s="226"/>
      <c r="AC63" s="566">
        <f t="shared" si="0"/>
        <v>1</v>
      </c>
      <c r="AD63" s="226" t="s">
        <v>141</v>
      </c>
      <c r="AE63" s="226" t="s">
        <v>67</v>
      </c>
      <c r="AF63" s="224" t="s">
        <v>31</v>
      </c>
      <c r="AG63" s="226">
        <v>0.05</v>
      </c>
      <c r="AH63" s="364">
        <f t="shared" si="3"/>
        <v>320867.25</v>
      </c>
    </row>
    <row r="64" spans="1:34" s="66" customFormat="1" ht="17.25" customHeight="1">
      <c r="A64" s="563" t="s">
        <v>841</v>
      </c>
      <c r="B64" s="564" t="s">
        <v>177</v>
      </c>
      <c r="C64" s="279" t="s">
        <v>177</v>
      </c>
      <c r="D64" s="278">
        <v>0.1</v>
      </c>
      <c r="E64" s="226"/>
      <c r="F64" s="227"/>
      <c r="G64" s="226"/>
      <c r="H64" s="226"/>
      <c r="I64" s="226"/>
      <c r="J64" s="226"/>
      <c r="K64" s="226"/>
      <c r="L64" s="226"/>
      <c r="M64" s="226"/>
      <c r="N64" s="363"/>
      <c r="O64" s="363"/>
      <c r="P64" s="363"/>
      <c r="Q64" s="363"/>
      <c r="R64" s="226"/>
      <c r="S64" s="226"/>
      <c r="T64" s="226"/>
      <c r="U64" s="226"/>
      <c r="V64" s="226">
        <v>1</v>
      </c>
      <c r="W64" s="226"/>
      <c r="X64" s="226"/>
      <c r="Y64" s="226"/>
      <c r="Z64" s="226"/>
      <c r="AA64" s="226"/>
      <c r="AB64" s="226"/>
      <c r="AC64" s="566">
        <f t="shared" si="0"/>
        <v>1</v>
      </c>
      <c r="AD64" s="226" t="s">
        <v>141</v>
      </c>
      <c r="AE64" s="226" t="s">
        <v>67</v>
      </c>
      <c r="AF64" s="224" t="s">
        <v>31</v>
      </c>
      <c r="AG64" s="363">
        <v>0.1</v>
      </c>
      <c r="AH64" s="364">
        <f t="shared" si="3"/>
        <v>320867.25</v>
      </c>
    </row>
    <row r="65" spans="1:34" ht="25.5" customHeight="1">
      <c r="A65" s="569" t="s">
        <v>271</v>
      </c>
      <c r="B65" s="366" t="s">
        <v>521</v>
      </c>
      <c r="C65" s="279" t="s">
        <v>521</v>
      </c>
      <c r="D65" s="278">
        <v>0.05</v>
      </c>
      <c r="E65" s="226"/>
      <c r="F65" s="227"/>
      <c r="G65" s="226"/>
      <c r="H65" s="226"/>
      <c r="I65" s="226"/>
      <c r="J65" s="226"/>
      <c r="K65" s="226"/>
      <c r="L65" s="226"/>
      <c r="M65" s="226"/>
      <c r="N65" s="363"/>
      <c r="O65" s="363"/>
      <c r="P65" s="363"/>
      <c r="Q65" s="363"/>
      <c r="R65" s="226"/>
      <c r="S65" s="226"/>
      <c r="T65" s="226"/>
      <c r="U65" s="226"/>
      <c r="V65" s="226"/>
      <c r="W65" s="226">
        <v>1</v>
      </c>
      <c r="X65" s="226"/>
      <c r="Y65" s="226"/>
      <c r="Z65" s="226"/>
      <c r="AA65" s="226"/>
      <c r="AB65" s="226"/>
      <c r="AC65" s="566">
        <f t="shared" si="0"/>
        <v>1</v>
      </c>
      <c r="AD65" s="226" t="s">
        <v>51</v>
      </c>
      <c r="AE65" s="226" t="s">
        <v>67</v>
      </c>
      <c r="AF65" s="224" t="s">
        <v>31</v>
      </c>
      <c r="AG65" s="226">
        <v>0.05</v>
      </c>
      <c r="AH65" s="364">
        <f t="shared" si="3"/>
        <v>360525</v>
      </c>
    </row>
    <row r="66" spans="1:34" ht="31.5" customHeight="1">
      <c r="A66" s="350" t="s">
        <v>273</v>
      </c>
      <c r="B66" s="347" t="s">
        <v>522</v>
      </c>
      <c r="C66" s="279" t="s">
        <v>522</v>
      </c>
      <c r="D66" s="278">
        <v>3.3000000000000002E-2</v>
      </c>
      <c r="E66" s="278"/>
      <c r="F66" s="279"/>
      <c r="G66" s="278"/>
      <c r="H66" s="278"/>
      <c r="I66" s="278"/>
      <c r="J66" s="278"/>
      <c r="K66" s="278"/>
      <c r="L66" s="278"/>
      <c r="M66" s="278"/>
      <c r="N66" s="301"/>
      <c r="O66" s="301"/>
      <c r="P66" s="301"/>
      <c r="Q66" s="301"/>
      <c r="R66" s="278"/>
      <c r="S66" s="278"/>
      <c r="T66" s="278"/>
      <c r="U66" s="278"/>
      <c r="V66" s="278">
        <v>1</v>
      </c>
      <c r="W66" s="278"/>
      <c r="X66" s="278"/>
      <c r="Y66" s="278"/>
      <c r="Z66" s="278"/>
      <c r="AA66" s="278"/>
      <c r="AB66" s="278"/>
      <c r="AC66" s="416">
        <f t="shared" si="0"/>
        <v>1</v>
      </c>
      <c r="AD66" s="278" t="s">
        <v>1</v>
      </c>
      <c r="AE66" s="278" t="s">
        <v>67</v>
      </c>
      <c r="AF66" s="342" t="s">
        <v>31</v>
      </c>
      <c r="AG66" s="278">
        <v>3.3000000000000002E-2</v>
      </c>
      <c r="AH66" s="351">
        <f t="shared" si="3"/>
        <v>320867.25</v>
      </c>
    </row>
    <row r="67" spans="1:34" s="183" customFormat="1" ht="29.25" customHeight="1">
      <c r="A67" s="350" t="s">
        <v>275</v>
      </c>
      <c r="B67" s="347" t="s">
        <v>183</v>
      </c>
      <c r="C67" s="279" t="s">
        <v>530</v>
      </c>
      <c r="D67" s="278"/>
      <c r="E67" s="346"/>
      <c r="F67" s="347"/>
      <c r="G67" s="346"/>
      <c r="H67" s="346"/>
      <c r="I67" s="346"/>
      <c r="J67" s="346"/>
      <c r="K67" s="346"/>
      <c r="L67" s="346"/>
      <c r="M67" s="346"/>
      <c r="N67" s="357"/>
      <c r="O67" s="357"/>
      <c r="P67" s="357"/>
      <c r="Q67" s="357"/>
      <c r="R67" s="346"/>
      <c r="S67" s="346"/>
      <c r="T67" s="346"/>
      <c r="U67" s="346"/>
      <c r="V67" s="346"/>
      <c r="W67" s="346"/>
      <c r="X67" s="346"/>
      <c r="Y67" s="346"/>
      <c r="Z67" s="346"/>
      <c r="AA67" s="346"/>
      <c r="AB67" s="346"/>
      <c r="AC67" s="416">
        <f t="shared" si="0"/>
        <v>0</v>
      </c>
      <c r="AD67" s="346"/>
      <c r="AE67" s="346"/>
      <c r="AF67" s="350"/>
      <c r="AG67" s="346"/>
      <c r="AH67" s="358">
        <f t="shared" si="3"/>
        <v>0</v>
      </c>
    </row>
    <row r="68" spans="1:34" s="305" customFormat="1" ht="26">
      <c r="A68" s="400" t="s">
        <v>842</v>
      </c>
      <c r="B68" s="347" t="s">
        <v>530</v>
      </c>
      <c r="C68" s="279" t="s">
        <v>185</v>
      </c>
      <c r="D68" s="278">
        <v>1.6E-2</v>
      </c>
      <c r="E68" s="346"/>
      <c r="F68" s="347"/>
      <c r="G68" s="346"/>
      <c r="H68" s="346"/>
      <c r="I68" s="346"/>
      <c r="J68" s="346"/>
      <c r="K68" s="346"/>
      <c r="L68" s="346"/>
      <c r="M68" s="346"/>
      <c r="N68" s="357"/>
      <c r="O68" s="357"/>
      <c r="P68" s="357"/>
      <c r="Q68" s="357"/>
      <c r="R68" s="346"/>
      <c r="S68" s="346"/>
      <c r="T68" s="346"/>
      <c r="U68" s="346"/>
      <c r="V68" s="346"/>
      <c r="W68" s="346"/>
      <c r="X68" s="346"/>
      <c r="Y68" s="346"/>
      <c r="Z68" s="346"/>
      <c r="AA68" s="346"/>
      <c r="AB68" s="346"/>
      <c r="AC68" s="416">
        <f t="shared" si="0"/>
        <v>0</v>
      </c>
      <c r="AD68" s="346"/>
      <c r="AE68" s="346"/>
      <c r="AF68" s="346"/>
      <c r="AG68" s="347"/>
      <c r="AH68" s="358">
        <f t="shared" si="3"/>
        <v>0</v>
      </c>
    </row>
    <row r="69" spans="1:34" s="305" customFormat="1" ht="33.75" customHeight="1">
      <c r="A69" s="400" t="s">
        <v>843</v>
      </c>
      <c r="B69" s="365" t="s">
        <v>185</v>
      </c>
      <c r="C69" s="279" t="s">
        <v>186</v>
      </c>
      <c r="D69" s="278">
        <v>8.0000000000000002E-3</v>
      </c>
      <c r="E69" s="346"/>
      <c r="F69" s="347"/>
      <c r="G69" s="346"/>
      <c r="H69" s="346"/>
      <c r="I69" s="346"/>
      <c r="J69" s="346"/>
      <c r="K69" s="346"/>
      <c r="L69" s="346"/>
      <c r="M69" s="346"/>
      <c r="N69" s="357"/>
      <c r="O69" s="357"/>
      <c r="P69" s="357"/>
      <c r="Q69" s="357"/>
      <c r="R69" s="346"/>
      <c r="S69" s="346"/>
      <c r="T69" s="346"/>
      <c r="U69" s="346">
        <v>1</v>
      </c>
      <c r="V69" s="346"/>
      <c r="W69" s="346"/>
      <c r="X69" s="346"/>
      <c r="Y69" s="346"/>
      <c r="Z69" s="346"/>
      <c r="AA69" s="346"/>
      <c r="AB69" s="346"/>
      <c r="AC69" s="416">
        <f t="shared" si="0"/>
        <v>1</v>
      </c>
      <c r="AD69" s="346" t="s">
        <v>444</v>
      </c>
      <c r="AE69" s="346" t="s">
        <v>66</v>
      </c>
      <c r="AF69" s="350" t="s">
        <v>31</v>
      </c>
      <c r="AG69" s="346">
        <v>1.6E-2</v>
      </c>
      <c r="AH69" s="358">
        <f t="shared" si="3"/>
        <v>281209.5</v>
      </c>
    </row>
    <row r="70" spans="1:34" s="305" customFormat="1" ht="45.75" customHeight="1">
      <c r="A70" s="400" t="s">
        <v>844</v>
      </c>
      <c r="B70" s="399" t="s">
        <v>186</v>
      </c>
      <c r="C70" s="279" t="s">
        <v>187</v>
      </c>
      <c r="D70" s="278">
        <v>4.0000000000000001E-3</v>
      </c>
      <c r="E70" s="346"/>
      <c r="F70" s="347"/>
      <c r="G70" s="346"/>
      <c r="H70" s="346"/>
      <c r="I70" s="346"/>
      <c r="J70" s="346"/>
      <c r="K70" s="346"/>
      <c r="L70" s="346"/>
      <c r="M70" s="346"/>
      <c r="N70" s="357"/>
      <c r="O70" s="357"/>
      <c r="P70" s="357"/>
      <c r="Q70" s="357"/>
      <c r="R70" s="346"/>
      <c r="S70" s="346"/>
      <c r="T70" s="346"/>
      <c r="U70" s="346">
        <v>1</v>
      </c>
      <c r="V70" s="346"/>
      <c r="W70" s="346"/>
      <c r="X70" s="346"/>
      <c r="Y70" s="346"/>
      <c r="Z70" s="346"/>
      <c r="AA70" s="346"/>
      <c r="AB70" s="346"/>
      <c r="AC70" s="416">
        <f t="shared" si="0"/>
        <v>1</v>
      </c>
      <c r="AD70" s="346" t="s">
        <v>444</v>
      </c>
      <c r="AE70" s="346" t="s">
        <v>66</v>
      </c>
      <c r="AF70" s="350" t="s">
        <v>31</v>
      </c>
      <c r="AG70" s="346">
        <v>8.0000000000000002E-3</v>
      </c>
      <c r="AH70" s="358">
        <f t="shared" si="3"/>
        <v>281209.5</v>
      </c>
    </row>
    <row r="71" spans="1:34" s="66" customFormat="1" ht="39">
      <c r="A71" s="350" t="s">
        <v>277</v>
      </c>
      <c r="B71" s="347" t="s">
        <v>187</v>
      </c>
      <c r="C71" s="279" t="s">
        <v>188</v>
      </c>
      <c r="D71" s="278">
        <v>0.01</v>
      </c>
      <c r="E71" s="278"/>
      <c r="F71" s="279"/>
      <c r="G71" s="278"/>
      <c r="H71" s="278"/>
      <c r="I71" s="278"/>
      <c r="J71" s="278"/>
      <c r="K71" s="278"/>
      <c r="L71" s="278"/>
      <c r="M71" s="278"/>
      <c r="N71" s="301"/>
      <c r="O71" s="301"/>
      <c r="P71" s="301"/>
      <c r="Q71" s="301"/>
      <c r="R71" s="278"/>
      <c r="S71" s="278"/>
      <c r="T71" s="278"/>
      <c r="U71" s="278">
        <v>1</v>
      </c>
      <c r="V71" s="278"/>
      <c r="W71" s="278"/>
      <c r="X71" s="278"/>
      <c r="Y71" s="278"/>
      <c r="Z71" s="278"/>
      <c r="AA71" s="278"/>
      <c r="AB71" s="278"/>
      <c r="AC71" s="416">
        <f t="shared" si="0"/>
        <v>1</v>
      </c>
      <c r="AD71" s="278" t="s">
        <v>444</v>
      </c>
      <c r="AE71" s="278" t="s">
        <v>66</v>
      </c>
      <c r="AF71" s="342" t="s">
        <v>31</v>
      </c>
      <c r="AG71" s="278">
        <v>4.0000000000000001E-3</v>
      </c>
      <c r="AH71" s="351">
        <f t="shared" si="3"/>
        <v>281209.5</v>
      </c>
    </row>
    <row r="72" spans="1:34" s="66" customFormat="1" ht="60" customHeight="1">
      <c r="A72" s="350" t="s">
        <v>279</v>
      </c>
      <c r="B72" s="347" t="s">
        <v>188</v>
      </c>
      <c r="C72" s="279" t="s">
        <v>523</v>
      </c>
      <c r="D72" s="278">
        <v>0.05</v>
      </c>
      <c r="E72" s="278"/>
      <c r="F72" s="279"/>
      <c r="G72" s="278"/>
      <c r="H72" s="278"/>
      <c r="I72" s="278"/>
      <c r="J72" s="278"/>
      <c r="K72" s="278"/>
      <c r="L72" s="278"/>
      <c r="M72" s="278"/>
      <c r="N72" s="301"/>
      <c r="O72" s="301"/>
      <c r="P72" s="301"/>
      <c r="Q72" s="301"/>
      <c r="R72" s="278"/>
      <c r="S72" s="278"/>
      <c r="T72" s="278"/>
      <c r="U72" s="278">
        <v>1</v>
      </c>
      <c r="V72" s="278"/>
      <c r="W72" s="278"/>
      <c r="X72" s="278"/>
      <c r="Y72" s="278"/>
      <c r="Z72" s="278"/>
      <c r="AA72" s="278"/>
      <c r="AB72" s="278"/>
      <c r="AC72" s="416">
        <f t="shared" si="0"/>
        <v>1</v>
      </c>
      <c r="AD72" s="278" t="s">
        <v>1</v>
      </c>
      <c r="AE72" s="278" t="s">
        <v>66</v>
      </c>
      <c r="AF72" s="342" t="s">
        <v>31</v>
      </c>
      <c r="AG72" s="368">
        <v>0.01</v>
      </c>
      <c r="AH72" s="351">
        <f t="shared" si="3"/>
        <v>281209.5</v>
      </c>
    </row>
    <row r="73" spans="1:34" s="66" customFormat="1" ht="52">
      <c r="A73" s="350" t="s">
        <v>281</v>
      </c>
      <c r="B73" s="347" t="s">
        <v>523</v>
      </c>
      <c r="C73" s="279" t="s">
        <v>524</v>
      </c>
      <c r="D73" s="278">
        <v>0.05</v>
      </c>
      <c r="E73" s="278"/>
      <c r="F73" s="279"/>
      <c r="G73" s="278"/>
      <c r="H73" s="278"/>
      <c r="I73" s="278"/>
      <c r="J73" s="278"/>
      <c r="K73" s="278"/>
      <c r="L73" s="278"/>
      <c r="M73" s="278"/>
      <c r="N73" s="301"/>
      <c r="O73" s="301"/>
      <c r="P73" s="301"/>
      <c r="Q73" s="301"/>
      <c r="R73" s="278"/>
      <c r="S73" s="278"/>
      <c r="T73" s="278"/>
      <c r="U73" s="278"/>
      <c r="V73" s="278">
        <v>1</v>
      </c>
      <c r="W73" s="278"/>
      <c r="X73" s="278"/>
      <c r="Y73" s="278"/>
      <c r="Z73" s="278"/>
      <c r="AA73" s="278"/>
      <c r="AB73" s="278"/>
      <c r="AC73" s="416">
        <f t="shared" si="0"/>
        <v>1</v>
      </c>
      <c r="AD73" s="278" t="s">
        <v>51</v>
      </c>
      <c r="AE73" s="278" t="s">
        <v>67</v>
      </c>
      <c r="AF73" s="342" t="s">
        <v>31</v>
      </c>
      <c r="AG73" s="278">
        <v>0.05</v>
      </c>
      <c r="AH73" s="351">
        <f t="shared" si="3"/>
        <v>320867.25</v>
      </c>
    </row>
    <row r="74" spans="1:34" s="66" customFormat="1" ht="39">
      <c r="A74" s="350" t="s">
        <v>283</v>
      </c>
      <c r="B74" s="347" t="s">
        <v>524</v>
      </c>
      <c r="C74" s="279" t="s">
        <v>525</v>
      </c>
      <c r="D74" s="278">
        <v>8</v>
      </c>
      <c r="E74" s="278"/>
      <c r="F74" s="279"/>
      <c r="G74" s="278"/>
      <c r="H74" s="278"/>
      <c r="I74" s="278"/>
      <c r="J74" s="278"/>
      <c r="K74" s="278"/>
      <c r="L74" s="278"/>
      <c r="M74" s="278"/>
      <c r="N74" s="301"/>
      <c r="O74" s="301"/>
      <c r="P74" s="301"/>
      <c r="Q74" s="301"/>
      <c r="R74" s="278"/>
      <c r="S74" s="278"/>
      <c r="T74" s="278"/>
      <c r="U74" s="278"/>
      <c r="V74" s="278">
        <v>1</v>
      </c>
      <c r="W74" s="278"/>
      <c r="X74" s="278"/>
      <c r="Y74" s="278"/>
      <c r="Z74" s="278"/>
      <c r="AA74" s="278"/>
      <c r="AB74" s="278"/>
      <c r="AC74" s="416">
        <f t="shared" si="0"/>
        <v>1</v>
      </c>
      <c r="AD74" s="278" t="s">
        <v>51</v>
      </c>
      <c r="AE74" s="278" t="s">
        <v>67</v>
      </c>
      <c r="AF74" s="342" t="s">
        <v>31</v>
      </c>
      <c r="AG74" s="278">
        <v>0.05</v>
      </c>
      <c r="AH74" s="351">
        <f t="shared" si="3"/>
        <v>320867.25</v>
      </c>
    </row>
    <row r="75" spans="1:34" s="126" customFormat="1" ht="26">
      <c r="A75" s="350" t="s">
        <v>285</v>
      </c>
      <c r="B75" s="347" t="s">
        <v>525</v>
      </c>
      <c r="C75" s="347"/>
      <c r="D75" s="347"/>
      <c r="E75" s="278"/>
      <c r="F75" s="279"/>
      <c r="G75" s="278"/>
      <c r="H75" s="278"/>
      <c r="I75" s="278"/>
      <c r="J75" s="278"/>
      <c r="K75" s="278"/>
      <c r="L75" s="278"/>
      <c r="M75" s="278"/>
      <c r="N75" s="301"/>
      <c r="O75" s="301"/>
      <c r="P75" s="301"/>
      <c r="Q75" s="301"/>
      <c r="R75" s="278"/>
      <c r="S75" s="278"/>
      <c r="T75" s="278"/>
      <c r="U75" s="278"/>
      <c r="V75" s="278">
        <v>1</v>
      </c>
      <c r="W75" s="278"/>
      <c r="X75" s="278"/>
      <c r="Y75" s="278"/>
      <c r="Z75" s="278"/>
      <c r="AA75" s="278"/>
      <c r="AB75" s="278"/>
      <c r="AC75" s="416">
        <f t="shared" si="0"/>
        <v>1</v>
      </c>
      <c r="AD75" s="278" t="s">
        <v>661</v>
      </c>
      <c r="AE75" s="278" t="s">
        <v>67</v>
      </c>
      <c r="AF75" s="342" t="s">
        <v>31</v>
      </c>
      <c r="AG75" s="402">
        <v>32</v>
      </c>
      <c r="AH75" s="351">
        <f t="shared" si="3"/>
        <v>320867.25</v>
      </c>
    </row>
    <row r="76" spans="1:34" ht="18" customHeight="1">
      <c r="A76" s="341" t="s">
        <v>572</v>
      </c>
      <c r="B76" s="894" t="s">
        <v>191</v>
      </c>
      <c r="C76" s="894"/>
      <c r="D76" s="894"/>
      <c r="E76" s="894"/>
      <c r="F76" s="894"/>
      <c r="G76" s="894"/>
      <c r="H76" s="894"/>
      <c r="I76" s="894"/>
      <c r="J76" s="894"/>
      <c r="K76" s="894"/>
      <c r="L76" s="894"/>
      <c r="M76" s="894"/>
      <c r="N76" s="894"/>
      <c r="O76" s="894"/>
      <c r="P76" s="894"/>
      <c r="Q76" s="894"/>
      <c r="R76" s="894"/>
      <c r="S76" s="894"/>
      <c r="T76" s="894"/>
      <c r="U76" s="894"/>
      <c r="V76" s="894"/>
      <c r="W76" s="894"/>
      <c r="X76" s="894"/>
      <c r="Y76" s="894"/>
      <c r="Z76" s="894"/>
      <c r="AA76" s="894"/>
      <c r="AB76" s="894"/>
      <c r="AC76" s="894"/>
      <c r="AD76" s="894"/>
      <c r="AE76" s="894"/>
      <c r="AF76" s="894"/>
      <c r="AG76" s="894"/>
      <c r="AH76" s="75"/>
    </row>
    <row r="77" spans="1:34" ht="15" customHeight="1">
      <c r="A77" s="342" t="s">
        <v>32</v>
      </c>
      <c r="B77" s="310" t="s">
        <v>192</v>
      </c>
      <c r="C77" s="310"/>
      <c r="D77" s="310"/>
      <c r="E77" s="278"/>
      <c r="F77" s="279"/>
      <c r="G77" s="278"/>
      <c r="H77" s="278"/>
      <c r="I77" s="278"/>
      <c r="J77" s="278"/>
      <c r="K77" s="278"/>
      <c r="L77" s="278"/>
      <c r="M77" s="278"/>
      <c r="N77" s="301"/>
      <c r="O77" s="301"/>
      <c r="P77" s="301"/>
      <c r="Q77" s="301"/>
      <c r="R77" s="278"/>
      <c r="S77" s="278"/>
      <c r="T77" s="278"/>
      <c r="U77" s="278"/>
      <c r="V77" s="278"/>
      <c r="W77" s="278"/>
      <c r="X77" s="278"/>
      <c r="Y77" s="278"/>
      <c r="Z77" s="278"/>
      <c r="AA77" s="278"/>
      <c r="AB77" s="278"/>
      <c r="AC77" s="278">
        <f t="shared" ref="AC77:AC83" si="4">SUM(E77:AB77)</f>
        <v>0</v>
      </c>
      <c r="AD77" s="278"/>
      <c r="AE77" s="278"/>
      <c r="AF77" s="342"/>
      <c r="AG77" s="278"/>
      <c r="AH77" s="351">
        <f t="shared" ref="AH77:AH83" si="5">(E77*E$6+F77*F$6+G77*G$6+H77*H$6+I77*I$6+J77*J$6+K77*K$6+L77*L$6+M77*M$6+N77*N$6+O77*O$6+P77*P$6+Q77*Q$6+R77*R$6+S77*S$6+T77*T$6+U77*U$6+V77*V$6+W77*W$6+X77*X$6+Y77*Y$6+Z77*Z$6+AA77*AA$6+AB77*AB$6)</f>
        <v>0</v>
      </c>
    </row>
    <row r="78" spans="1:34" s="66" customFormat="1" ht="26">
      <c r="A78" s="304" t="s">
        <v>132</v>
      </c>
      <c r="B78" s="313" t="s">
        <v>193</v>
      </c>
      <c r="C78" s="313"/>
      <c r="D78" s="313"/>
      <c r="E78" s="278"/>
      <c r="F78" s="279"/>
      <c r="G78" s="278"/>
      <c r="H78" s="278"/>
      <c r="I78" s="278"/>
      <c r="J78" s="278"/>
      <c r="K78" s="278"/>
      <c r="L78" s="278"/>
      <c r="M78" s="278"/>
      <c r="N78" s="301"/>
      <c r="O78" s="301"/>
      <c r="P78" s="301"/>
      <c r="Q78" s="301"/>
      <c r="R78" s="278"/>
      <c r="S78" s="278"/>
      <c r="T78" s="278"/>
      <c r="U78" s="278"/>
      <c r="V78" s="278"/>
      <c r="W78" s="278"/>
      <c r="X78" s="278">
        <v>1</v>
      </c>
      <c r="Y78" s="278"/>
      <c r="Z78" s="278"/>
      <c r="AA78" s="278"/>
      <c r="AB78" s="278"/>
      <c r="AC78" s="278">
        <f t="shared" si="4"/>
        <v>1</v>
      </c>
      <c r="AD78" s="278" t="s">
        <v>142</v>
      </c>
      <c r="AE78" s="278" t="s">
        <v>69</v>
      </c>
      <c r="AF78" s="342" t="s">
        <v>31</v>
      </c>
      <c r="AG78" s="402">
        <v>1200</v>
      </c>
      <c r="AH78" s="351">
        <f t="shared" si="5"/>
        <v>400182.75</v>
      </c>
    </row>
    <row r="79" spans="1:34" s="66" customFormat="1">
      <c r="A79" s="304" t="s">
        <v>133</v>
      </c>
      <c r="B79" s="313" t="s">
        <v>500</v>
      </c>
      <c r="C79" s="313"/>
      <c r="D79" s="313"/>
      <c r="E79" s="278"/>
      <c r="F79" s="279"/>
      <c r="G79" s="278"/>
      <c r="H79" s="278"/>
      <c r="I79" s="278"/>
      <c r="J79" s="278"/>
      <c r="K79" s="278"/>
      <c r="L79" s="278"/>
      <c r="M79" s="278"/>
      <c r="N79" s="301"/>
      <c r="O79" s="301"/>
      <c r="P79" s="301"/>
      <c r="Q79" s="301"/>
      <c r="R79" s="278"/>
      <c r="S79" s="278"/>
      <c r="T79" s="278"/>
      <c r="U79" s="278"/>
      <c r="V79" s="278"/>
      <c r="W79" s="278"/>
      <c r="X79" s="278">
        <v>1</v>
      </c>
      <c r="Y79" s="278"/>
      <c r="Z79" s="278"/>
      <c r="AA79" s="278"/>
      <c r="AB79" s="278"/>
      <c r="AC79" s="278">
        <f t="shared" si="4"/>
        <v>1</v>
      </c>
      <c r="AD79" s="278" t="s">
        <v>1</v>
      </c>
      <c r="AE79" s="278" t="s">
        <v>69</v>
      </c>
      <c r="AF79" s="342" t="s">
        <v>31</v>
      </c>
      <c r="AG79" s="278">
        <v>0.01</v>
      </c>
      <c r="AH79" s="351">
        <f t="shared" si="5"/>
        <v>400182.75</v>
      </c>
    </row>
    <row r="80" spans="1:34" ht="26">
      <c r="A80" s="342" t="s">
        <v>33</v>
      </c>
      <c r="B80" s="310" t="s">
        <v>501</v>
      </c>
      <c r="C80" s="310"/>
      <c r="D80" s="310"/>
      <c r="E80" s="278"/>
      <c r="F80" s="279"/>
      <c r="G80" s="278"/>
      <c r="H80" s="278"/>
      <c r="I80" s="278"/>
      <c r="J80" s="278"/>
      <c r="K80" s="278"/>
      <c r="L80" s="278"/>
      <c r="M80" s="278"/>
      <c r="N80" s="301"/>
      <c r="O80" s="301"/>
      <c r="P80" s="301"/>
      <c r="Q80" s="301"/>
      <c r="R80" s="278"/>
      <c r="S80" s="278"/>
      <c r="T80" s="278"/>
      <c r="U80" s="278"/>
      <c r="V80" s="278"/>
      <c r="W80" s="278"/>
      <c r="X80" s="278"/>
      <c r="Y80" s="278"/>
      <c r="Z80" s="278"/>
      <c r="AA80" s="278"/>
      <c r="AB80" s="278"/>
      <c r="AC80" s="278">
        <f t="shared" si="4"/>
        <v>0</v>
      </c>
      <c r="AD80" s="278"/>
      <c r="AE80" s="278"/>
      <c r="AF80" s="342"/>
      <c r="AG80" s="278"/>
      <c r="AH80" s="351">
        <f t="shared" si="5"/>
        <v>0</v>
      </c>
    </row>
    <row r="81" spans="1:36" s="124" customFormat="1">
      <c r="A81" s="304" t="s">
        <v>131</v>
      </c>
      <c r="B81" s="313" t="s">
        <v>196</v>
      </c>
      <c r="C81" s="313"/>
      <c r="D81" s="313"/>
      <c r="E81" s="278"/>
      <c r="F81" s="279"/>
      <c r="G81" s="278"/>
      <c r="H81" s="278"/>
      <c r="I81" s="278"/>
      <c r="J81" s="278"/>
      <c r="K81" s="278"/>
      <c r="L81" s="278"/>
      <c r="M81" s="278"/>
      <c r="N81" s="301"/>
      <c r="O81" s="301"/>
      <c r="P81" s="301"/>
      <c r="Q81" s="301"/>
      <c r="R81" s="278"/>
      <c r="S81" s="278"/>
      <c r="T81" s="278"/>
      <c r="U81" s="278"/>
      <c r="V81" s="278"/>
      <c r="W81" s="278"/>
      <c r="X81" s="278">
        <v>1</v>
      </c>
      <c r="Y81" s="278"/>
      <c r="Z81" s="278"/>
      <c r="AA81" s="278"/>
      <c r="AB81" s="278"/>
      <c r="AC81" s="278">
        <f t="shared" si="4"/>
        <v>1</v>
      </c>
      <c r="AD81" s="278" t="s">
        <v>143</v>
      </c>
      <c r="AE81" s="278" t="s">
        <v>69</v>
      </c>
      <c r="AF81" s="342" t="s">
        <v>31</v>
      </c>
      <c r="AG81" s="402">
        <v>2.5000000000000001E-2</v>
      </c>
      <c r="AH81" s="351">
        <f t="shared" si="5"/>
        <v>400182.75</v>
      </c>
    </row>
    <row r="82" spans="1:36" s="66" customFormat="1">
      <c r="A82" s="304" t="s">
        <v>134</v>
      </c>
      <c r="B82" s="313" t="s">
        <v>502</v>
      </c>
      <c r="C82" s="313"/>
      <c r="D82" s="313"/>
      <c r="E82" s="278"/>
      <c r="F82" s="279"/>
      <c r="G82" s="278"/>
      <c r="H82" s="278"/>
      <c r="I82" s="278"/>
      <c r="J82" s="278"/>
      <c r="K82" s="278"/>
      <c r="L82" s="278"/>
      <c r="M82" s="278"/>
      <c r="N82" s="301"/>
      <c r="O82" s="301"/>
      <c r="P82" s="301"/>
      <c r="Q82" s="301"/>
      <c r="R82" s="278"/>
      <c r="S82" s="278"/>
      <c r="T82" s="278"/>
      <c r="U82" s="278"/>
      <c r="V82" s="278"/>
      <c r="W82" s="278"/>
      <c r="X82" s="278">
        <v>1</v>
      </c>
      <c r="Y82" s="278"/>
      <c r="Z82" s="278"/>
      <c r="AA82" s="278"/>
      <c r="AB82" s="278"/>
      <c r="AC82" s="278">
        <f t="shared" si="4"/>
        <v>1</v>
      </c>
      <c r="AD82" s="278" t="s">
        <v>142</v>
      </c>
      <c r="AE82" s="278" t="s">
        <v>69</v>
      </c>
      <c r="AF82" s="342" t="s">
        <v>31</v>
      </c>
      <c r="AG82" s="402">
        <v>8</v>
      </c>
      <c r="AH82" s="351">
        <f t="shared" si="5"/>
        <v>400182.75</v>
      </c>
    </row>
    <row r="83" spans="1:36" ht="26">
      <c r="A83" s="342" t="s">
        <v>34</v>
      </c>
      <c r="B83" s="310" t="s">
        <v>673</v>
      </c>
      <c r="C83" s="310"/>
      <c r="D83" s="310"/>
      <c r="E83" s="278"/>
      <c r="F83" s="279"/>
      <c r="G83" s="278"/>
      <c r="H83" s="278"/>
      <c r="I83" s="278"/>
      <c r="J83" s="278"/>
      <c r="K83" s="278"/>
      <c r="L83" s="278"/>
      <c r="M83" s="278"/>
      <c r="N83" s="301"/>
      <c r="O83" s="301"/>
      <c r="P83" s="301"/>
      <c r="Q83" s="301"/>
      <c r="R83" s="278"/>
      <c r="S83" s="278"/>
      <c r="T83" s="278"/>
      <c r="U83" s="278"/>
      <c r="V83" s="278"/>
      <c r="W83" s="278"/>
      <c r="X83" s="278">
        <v>1</v>
      </c>
      <c r="Y83" s="278"/>
      <c r="Z83" s="278"/>
      <c r="AA83" s="278"/>
      <c r="AB83" s="278"/>
      <c r="AC83" s="278">
        <f t="shared" si="4"/>
        <v>1</v>
      </c>
      <c r="AD83" s="278" t="s">
        <v>661</v>
      </c>
      <c r="AE83" s="278" t="s">
        <v>69</v>
      </c>
      <c r="AF83" s="342" t="s">
        <v>31</v>
      </c>
      <c r="AG83" s="402">
        <v>32</v>
      </c>
      <c r="AH83" s="351">
        <f t="shared" si="5"/>
        <v>400182.75</v>
      </c>
    </row>
    <row r="84" spans="1:36" ht="18" customHeight="1">
      <c r="A84" s="314" t="s">
        <v>123</v>
      </c>
      <c r="B84" s="315" t="s">
        <v>246</v>
      </c>
      <c r="C84" s="315"/>
      <c r="D84" s="315"/>
      <c r="E84" s="315"/>
      <c r="F84" s="315"/>
      <c r="G84" s="315"/>
      <c r="H84" s="315"/>
      <c r="I84" s="315"/>
      <c r="J84" s="315"/>
      <c r="K84" s="315"/>
      <c r="L84" s="315"/>
      <c r="M84" s="315"/>
      <c r="N84" s="315"/>
      <c r="O84" s="315"/>
      <c r="P84" s="315"/>
      <c r="Q84" s="315"/>
      <c r="R84" s="315"/>
      <c r="S84" s="315"/>
      <c r="T84" s="315"/>
      <c r="U84" s="315"/>
      <c r="V84" s="315"/>
      <c r="W84" s="315"/>
      <c r="X84" s="315"/>
      <c r="Y84" s="315"/>
      <c r="Z84" s="315"/>
      <c r="AA84" s="315"/>
      <c r="AB84" s="315"/>
      <c r="AC84" s="315"/>
      <c r="AD84" s="315"/>
      <c r="AE84" s="315"/>
      <c r="AF84" s="315"/>
      <c r="AG84" s="315"/>
      <c r="AH84" s="316"/>
    </row>
    <row r="85" spans="1:36" ht="30.75" customHeight="1">
      <c r="A85" s="47" t="s">
        <v>32</v>
      </c>
      <c r="B85" s="876" t="s">
        <v>585</v>
      </c>
      <c r="C85" s="877"/>
      <c r="D85" s="877"/>
      <c r="E85" s="877"/>
      <c r="F85" s="877"/>
      <c r="G85" s="877"/>
      <c r="H85" s="877"/>
      <c r="I85" s="877"/>
      <c r="J85" s="877"/>
      <c r="K85" s="877"/>
      <c r="L85" s="877"/>
      <c r="M85" s="877"/>
      <c r="N85" s="877"/>
      <c r="O85" s="877"/>
      <c r="P85" s="877"/>
      <c r="Q85" s="877"/>
      <c r="R85" s="877"/>
      <c r="S85" s="877"/>
      <c r="T85" s="877"/>
      <c r="U85" s="877"/>
      <c r="V85" s="877"/>
      <c r="W85" s="877"/>
      <c r="X85" s="877"/>
      <c r="Y85" s="877"/>
      <c r="Z85" s="877"/>
      <c r="AA85" s="877"/>
      <c r="AB85" s="877"/>
      <c r="AC85" s="877"/>
      <c r="AD85" s="877"/>
      <c r="AE85" s="877"/>
      <c r="AF85" s="878"/>
      <c r="AG85" s="44">
        <v>1.6</v>
      </c>
      <c r="AH85" s="67"/>
    </row>
    <row r="86" spans="1:36" ht="39" customHeight="1">
      <c r="A86" s="47" t="s">
        <v>33</v>
      </c>
      <c r="B86" s="876" t="s">
        <v>846</v>
      </c>
      <c r="C86" s="877"/>
      <c r="D86" s="877"/>
      <c r="E86" s="877"/>
      <c r="F86" s="877"/>
      <c r="G86" s="877"/>
      <c r="H86" s="877"/>
      <c r="I86" s="877"/>
      <c r="J86" s="877"/>
      <c r="K86" s="877"/>
      <c r="L86" s="877"/>
      <c r="M86" s="877"/>
      <c r="N86" s="877"/>
      <c r="O86" s="877"/>
      <c r="P86" s="877"/>
      <c r="Q86" s="877"/>
      <c r="R86" s="877"/>
      <c r="S86" s="877"/>
      <c r="T86" s="877"/>
      <c r="U86" s="877"/>
      <c r="V86" s="877"/>
      <c r="W86" s="877"/>
      <c r="X86" s="877"/>
      <c r="Y86" s="877"/>
      <c r="Z86" s="877"/>
      <c r="AA86" s="877"/>
      <c r="AB86" s="877"/>
      <c r="AC86" s="877"/>
      <c r="AD86" s="877"/>
      <c r="AE86" s="877"/>
      <c r="AF86" s="878"/>
      <c r="AG86" s="45" t="s">
        <v>454</v>
      </c>
      <c r="AH86" s="67"/>
    </row>
    <row r="87" spans="1:36" ht="31.5" customHeight="1">
      <c r="A87" s="47" t="s">
        <v>34</v>
      </c>
      <c r="B87" s="876" t="s">
        <v>847</v>
      </c>
      <c r="C87" s="877"/>
      <c r="D87" s="877"/>
      <c r="E87" s="877"/>
      <c r="F87" s="877"/>
      <c r="G87" s="877"/>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8"/>
      <c r="AG87" s="44"/>
      <c r="AH87" s="67"/>
    </row>
    <row r="88" spans="1:36" ht="27.75" customHeight="1">
      <c r="A88" s="47" t="s">
        <v>154</v>
      </c>
      <c r="B88" s="876" t="s">
        <v>848</v>
      </c>
      <c r="C88" s="877"/>
      <c r="D88" s="877"/>
      <c r="E88" s="877"/>
      <c r="F88" s="877"/>
      <c r="G88" s="877"/>
      <c r="H88" s="877"/>
      <c r="I88" s="877"/>
      <c r="J88" s="877"/>
      <c r="K88" s="877"/>
      <c r="L88" s="877"/>
      <c r="M88" s="877"/>
      <c r="N88" s="877"/>
      <c r="O88" s="877"/>
      <c r="P88" s="877"/>
      <c r="Q88" s="877"/>
      <c r="R88" s="877"/>
      <c r="S88" s="877"/>
      <c r="T88" s="877"/>
      <c r="U88" s="877"/>
      <c r="V88" s="877"/>
      <c r="W88" s="877"/>
      <c r="X88" s="877"/>
      <c r="Y88" s="877"/>
      <c r="Z88" s="877"/>
      <c r="AA88" s="877"/>
      <c r="AB88" s="877"/>
      <c r="AC88" s="877"/>
      <c r="AD88" s="877"/>
      <c r="AE88" s="877"/>
      <c r="AF88" s="878"/>
      <c r="AG88" s="44"/>
      <c r="AH88" s="67"/>
    </row>
    <row r="89" spans="1:36" ht="27.65" customHeight="1">
      <c r="A89" s="47" t="s">
        <v>155</v>
      </c>
      <c r="B89" s="876" t="s">
        <v>849</v>
      </c>
      <c r="C89" s="877"/>
      <c r="D89" s="877"/>
      <c r="E89" s="877"/>
      <c r="F89" s="877"/>
      <c r="G89" s="877"/>
      <c r="H89" s="877"/>
      <c r="I89" s="877"/>
      <c r="J89" s="877"/>
      <c r="K89" s="877"/>
      <c r="L89" s="877"/>
      <c r="M89" s="877"/>
      <c r="N89" s="877"/>
      <c r="O89" s="877"/>
      <c r="P89" s="877"/>
      <c r="Q89" s="877"/>
      <c r="R89" s="877"/>
      <c r="S89" s="877"/>
      <c r="T89" s="877"/>
      <c r="U89" s="877"/>
      <c r="V89" s="877"/>
      <c r="W89" s="877"/>
      <c r="X89" s="877"/>
      <c r="Y89" s="877"/>
      <c r="Z89" s="877"/>
      <c r="AA89" s="877"/>
      <c r="AB89" s="877"/>
      <c r="AC89" s="877"/>
      <c r="AD89" s="877"/>
      <c r="AE89" s="877"/>
      <c r="AF89" s="878"/>
      <c r="AG89" s="44"/>
      <c r="AH89" s="67"/>
    </row>
    <row r="90" spans="1:36" ht="28.5" customHeight="1">
      <c r="A90" s="47" t="s">
        <v>156</v>
      </c>
      <c r="B90" s="876" t="s">
        <v>850</v>
      </c>
      <c r="C90" s="877"/>
      <c r="D90" s="877"/>
      <c r="E90" s="877"/>
      <c r="F90" s="877"/>
      <c r="G90" s="877"/>
      <c r="H90" s="877"/>
      <c r="I90" s="877"/>
      <c r="J90" s="877"/>
      <c r="K90" s="877"/>
      <c r="L90" s="877"/>
      <c r="M90" s="877"/>
      <c r="N90" s="877"/>
      <c r="O90" s="877"/>
      <c r="P90" s="877"/>
      <c r="Q90" s="877"/>
      <c r="R90" s="877"/>
      <c r="S90" s="877"/>
      <c r="T90" s="877"/>
      <c r="U90" s="877"/>
      <c r="V90" s="877"/>
      <c r="W90" s="877"/>
      <c r="X90" s="877"/>
      <c r="Y90" s="877"/>
      <c r="Z90" s="877"/>
      <c r="AA90" s="877"/>
      <c r="AB90" s="877"/>
      <c r="AC90" s="877"/>
      <c r="AD90" s="877"/>
      <c r="AE90" s="877"/>
      <c r="AF90" s="878"/>
      <c r="AG90" s="45"/>
      <c r="AH90" s="67"/>
    </row>
    <row r="91" spans="1:36" ht="41.25" customHeight="1">
      <c r="A91" s="836" t="s">
        <v>105</v>
      </c>
      <c r="B91" s="910" t="s">
        <v>753</v>
      </c>
      <c r="C91" s="910"/>
      <c r="D91" s="910"/>
      <c r="E91" s="910"/>
      <c r="F91" s="910"/>
      <c r="G91" s="910"/>
      <c r="H91" s="910"/>
      <c r="I91" s="910"/>
      <c r="J91" s="910"/>
      <c r="K91" s="910"/>
      <c r="L91" s="910"/>
      <c r="M91" s="910"/>
      <c r="N91" s="910"/>
      <c r="O91" s="910"/>
      <c r="P91" s="910"/>
      <c r="Q91" s="910"/>
      <c r="R91" s="910"/>
      <c r="S91" s="910"/>
      <c r="T91" s="910"/>
      <c r="U91" s="910"/>
      <c r="V91" s="910"/>
      <c r="W91" s="910"/>
      <c r="X91" s="910"/>
      <c r="Y91" s="910"/>
      <c r="Z91" s="910"/>
      <c r="AA91" s="910"/>
      <c r="AB91" s="910"/>
      <c r="AC91" s="910"/>
      <c r="AD91" s="910"/>
      <c r="AE91" s="910"/>
      <c r="AF91" s="910"/>
      <c r="AG91" s="910"/>
      <c r="AH91" s="360"/>
      <c r="AI91" s="360"/>
      <c r="AJ91" s="340" t="s">
        <v>301</v>
      </c>
    </row>
    <row r="92" spans="1:36" s="38" customFormat="1" ht="18" customHeight="1">
      <c r="A92" s="597" t="s">
        <v>526</v>
      </c>
      <c r="B92" s="890" t="s">
        <v>662</v>
      </c>
      <c r="C92" s="890"/>
      <c r="D92" s="890"/>
      <c r="E92" s="890"/>
      <c r="F92" s="890"/>
      <c r="G92" s="890"/>
      <c r="H92" s="890"/>
      <c r="I92" s="890"/>
      <c r="J92" s="890"/>
      <c r="K92" s="890"/>
      <c r="L92" s="890"/>
      <c r="M92" s="890"/>
      <c r="N92" s="890"/>
      <c r="O92" s="890"/>
      <c r="P92" s="890"/>
      <c r="Q92" s="890"/>
      <c r="R92" s="890"/>
      <c r="S92" s="890"/>
      <c r="T92" s="890"/>
      <c r="U92" s="890"/>
      <c r="V92" s="890"/>
      <c r="W92" s="890"/>
      <c r="X92" s="890"/>
      <c r="Y92" s="890"/>
      <c r="Z92" s="890"/>
      <c r="AA92" s="890"/>
      <c r="AB92" s="890"/>
      <c r="AC92" s="890"/>
      <c r="AD92" s="890"/>
      <c r="AE92" s="890"/>
      <c r="AF92" s="890"/>
      <c r="AG92" s="599" t="s">
        <v>209</v>
      </c>
      <c r="AH92" s="599" t="s">
        <v>210</v>
      </c>
      <c r="AI92" s="599" t="s">
        <v>445</v>
      </c>
      <c r="AJ92" s="600"/>
    </row>
    <row r="93" spans="1:36" s="183" customFormat="1" ht="18" customHeight="1">
      <c r="A93" s="350" t="s">
        <v>32</v>
      </c>
      <c r="B93" s="347" t="s">
        <v>147</v>
      </c>
      <c r="C93" s="347"/>
      <c r="D93" s="347"/>
      <c r="E93" s="346"/>
      <c r="F93" s="405"/>
      <c r="G93" s="405"/>
      <c r="H93" s="405"/>
      <c r="I93" s="405"/>
      <c r="J93" s="405"/>
      <c r="K93" s="405"/>
      <c r="L93" s="405"/>
      <c r="M93" s="405"/>
      <c r="N93" s="405"/>
      <c r="O93" s="405"/>
      <c r="P93" s="405"/>
      <c r="Q93" s="405"/>
      <c r="R93" s="405"/>
      <c r="S93" s="405"/>
      <c r="T93" s="405"/>
      <c r="U93" s="405"/>
      <c r="V93" s="405"/>
      <c r="W93" s="405"/>
      <c r="X93" s="405"/>
      <c r="Y93" s="405"/>
      <c r="Z93" s="405"/>
      <c r="AA93" s="405"/>
      <c r="AB93" s="405"/>
      <c r="AC93" s="346">
        <f t="shared" ref="AC93:AC128" si="6">SUM(E93:AB93)</f>
        <v>0</v>
      </c>
      <c r="AD93" s="405"/>
      <c r="AE93" s="405"/>
      <c r="AF93" s="405"/>
      <c r="AG93" s="405"/>
      <c r="AH93" s="405"/>
      <c r="AI93" s="405"/>
      <c r="AJ93" s="405"/>
    </row>
    <row r="94" spans="1:36" s="305" customFormat="1" ht="18" customHeight="1">
      <c r="A94" s="400" t="s">
        <v>132</v>
      </c>
      <c r="B94" s="365" t="s">
        <v>149</v>
      </c>
      <c r="C94" s="365"/>
      <c r="D94" s="365"/>
      <c r="E94" s="346"/>
      <c r="F94" s="347"/>
      <c r="G94" s="346"/>
      <c r="H94" s="346"/>
      <c r="I94" s="346"/>
      <c r="J94" s="346"/>
      <c r="K94" s="346"/>
      <c r="L94" s="346"/>
      <c r="M94" s="346"/>
      <c r="N94" s="357"/>
      <c r="O94" s="357"/>
      <c r="P94" s="357"/>
      <c r="Q94" s="357"/>
      <c r="R94" s="346"/>
      <c r="S94" s="346"/>
      <c r="T94" s="346"/>
      <c r="U94" s="346"/>
      <c r="V94" s="346">
        <v>1</v>
      </c>
      <c r="W94" s="346"/>
      <c r="X94" s="346"/>
      <c r="Y94" s="346"/>
      <c r="Z94" s="346"/>
      <c r="AA94" s="346"/>
      <c r="AB94" s="346"/>
      <c r="AC94" s="346">
        <f t="shared" si="6"/>
        <v>1</v>
      </c>
      <c r="AD94" s="346" t="s">
        <v>51</v>
      </c>
      <c r="AE94" s="346" t="s">
        <v>67</v>
      </c>
      <c r="AF94" s="350" t="s">
        <v>31</v>
      </c>
      <c r="AG94" s="357">
        <v>0.2</v>
      </c>
      <c r="AH94" s="346">
        <v>0.2</v>
      </c>
      <c r="AI94" s="346">
        <v>0.26</v>
      </c>
      <c r="AJ94" s="358">
        <f>(E94*E$6+F94*F$6+G94*G$6+H94*H$6+I94*I$6+J94*J$6+K94*K$6+L94*L$6+M94*M$6+N94*N$6+O94*O$6+P94*P$6+Q94*Q$6+R94*R$6+S94*S$6+T94*T$6+U94*U$6+V94*V$6+W94*W$6+X94*X$6+Y94*Y$6+Z94*Z$6+AA94*AA$6+AB94*AB$6)</f>
        <v>320867.25</v>
      </c>
    </row>
    <row r="95" spans="1:36" s="305" customFormat="1" ht="18" customHeight="1">
      <c r="A95" s="563" t="s">
        <v>133</v>
      </c>
      <c r="B95" s="564" t="s">
        <v>151</v>
      </c>
      <c r="C95" s="564"/>
      <c r="D95" s="564"/>
      <c r="E95" s="311"/>
      <c r="F95" s="366"/>
      <c r="G95" s="311"/>
      <c r="H95" s="311"/>
      <c r="I95" s="311"/>
      <c r="J95" s="311"/>
      <c r="K95" s="311"/>
      <c r="L95" s="311"/>
      <c r="M95" s="311"/>
      <c r="N95" s="367"/>
      <c r="O95" s="367"/>
      <c r="P95" s="367"/>
      <c r="Q95" s="367"/>
      <c r="R95" s="311"/>
      <c r="S95" s="311"/>
      <c r="T95" s="311"/>
      <c r="U95" s="311"/>
      <c r="V95" s="311">
        <v>1</v>
      </c>
      <c r="W95" s="311"/>
      <c r="X95" s="311"/>
      <c r="Y95" s="311"/>
      <c r="Z95" s="311"/>
      <c r="AA95" s="311"/>
      <c r="AB95" s="311"/>
      <c r="AC95" s="311">
        <f t="shared" si="6"/>
        <v>1</v>
      </c>
      <c r="AD95" s="311" t="s">
        <v>51</v>
      </c>
      <c r="AE95" s="311" t="s">
        <v>67</v>
      </c>
      <c r="AF95" s="569" t="s">
        <v>31</v>
      </c>
      <c r="AG95" s="367">
        <v>0.15</v>
      </c>
      <c r="AH95" s="311">
        <v>0.15</v>
      </c>
      <c r="AI95" s="311">
        <v>0.19</v>
      </c>
      <c r="AJ95" s="374">
        <f t="shared" ref="AJ95:AJ146" si="7">(E95*E$6+F95*F$6+G95*G$6+H95*H$6+I95*I$6+J95*J$6+K95*K$6+L95*L$6+M95*M$6+N95*N$6+O95*O$6+P95*P$6+Q95*Q$6+R95*R$6+S95*S$6+T95*T$6+U95*U$6+V95*V$6+W95*W$6+X95*X$6+Y95*Y$6+Z95*Z$6+AA95*AA$6+AB95*AB$6)</f>
        <v>320867.25</v>
      </c>
    </row>
    <row r="96" spans="1:36" s="183" customFormat="1" ht="39">
      <c r="A96" s="350" t="s">
        <v>33</v>
      </c>
      <c r="B96" s="347" t="s">
        <v>152</v>
      </c>
      <c r="C96" s="347"/>
      <c r="D96" s="347"/>
      <c r="E96" s="346"/>
      <c r="F96" s="347"/>
      <c r="G96" s="346"/>
      <c r="H96" s="346"/>
      <c r="I96" s="346"/>
      <c r="J96" s="346"/>
      <c r="K96" s="346"/>
      <c r="L96" s="346"/>
      <c r="M96" s="346"/>
      <c r="N96" s="357"/>
      <c r="O96" s="357"/>
      <c r="P96" s="357"/>
      <c r="Q96" s="357"/>
      <c r="R96" s="346"/>
      <c r="S96" s="346"/>
      <c r="T96" s="346"/>
      <c r="U96" s="346"/>
      <c r="V96" s="346">
        <v>1</v>
      </c>
      <c r="W96" s="346"/>
      <c r="X96" s="346"/>
      <c r="Y96" s="346"/>
      <c r="Z96" s="346"/>
      <c r="AA96" s="346"/>
      <c r="AB96" s="346"/>
      <c r="AC96" s="346">
        <f t="shared" si="6"/>
        <v>1</v>
      </c>
      <c r="AD96" s="346" t="s">
        <v>51</v>
      </c>
      <c r="AE96" s="346" t="s">
        <v>67</v>
      </c>
      <c r="AF96" s="350" t="s">
        <v>31</v>
      </c>
      <c r="AG96" s="357">
        <v>0.1</v>
      </c>
      <c r="AH96" s="346">
        <v>0.1</v>
      </c>
      <c r="AI96" s="346">
        <v>1.1299999999999999</v>
      </c>
      <c r="AJ96" s="358">
        <f t="shared" si="7"/>
        <v>320867.25</v>
      </c>
    </row>
    <row r="97" spans="1:36" s="183" customFormat="1" ht="26">
      <c r="A97" s="350" t="s">
        <v>34</v>
      </c>
      <c r="B97" s="347" t="s">
        <v>153</v>
      </c>
      <c r="C97" s="347"/>
      <c r="D97" s="347"/>
      <c r="E97" s="346"/>
      <c r="F97" s="347"/>
      <c r="G97" s="346"/>
      <c r="H97" s="346"/>
      <c r="I97" s="346"/>
      <c r="J97" s="346"/>
      <c r="K97" s="346"/>
      <c r="L97" s="346"/>
      <c r="M97" s="346"/>
      <c r="N97" s="357"/>
      <c r="O97" s="357"/>
      <c r="P97" s="357"/>
      <c r="Q97" s="357"/>
      <c r="R97" s="346"/>
      <c r="S97" s="346"/>
      <c r="T97" s="346"/>
      <c r="U97" s="346"/>
      <c r="V97" s="346"/>
      <c r="W97" s="346">
        <v>1</v>
      </c>
      <c r="X97" s="346"/>
      <c r="Y97" s="346"/>
      <c r="Z97" s="346"/>
      <c r="AA97" s="346"/>
      <c r="AB97" s="346"/>
      <c r="AC97" s="346">
        <f t="shared" si="6"/>
        <v>1</v>
      </c>
      <c r="AD97" s="346" t="s">
        <v>1</v>
      </c>
      <c r="AE97" s="346" t="s">
        <v>104</v>
      </c>
      <c r="AF97" s="350" t="s">
        <v>31</v>
      </c>
      <c r="AG97" s="346">
        <v>0.107</v>
      </c>
      <c r="AH97" s="346">
        <f>AG97</f>
        <v>0.107</v>
      </c>
      <c r="AI97" s="346">
        <v>0.16700000000000001</v>
      </c>
      <c r="AJ97" s="358">
        <f t="shared" si="7"/>
        <v>360525</v>
      </c>
    </row>
    <row r="98" spans="1:36" s="183" customFormat="1" ht="26">
      <c r="A98" s="350" t="s">
        <v>154</v>
      </c>
      <c r="B98" s="347" t="s">
        <v>184</v>
      </c>
      <c r="C98" s="347"/>
      <c r="D98" s="347"/>
      <c r="E98" s="346"/>
      <c r="F98" s="347"/>
      <c r="G98" s="346"/>
      <c r="H98" s="346"/>
      <c r="I98" s="346"/>
      <c r="J98" s="346"/>
      <c r="K98" s="346"/>
      <c r="L98" s="346"/>
      <c r="M98" s="346"/>
      <c r="N98" s="357"/>
      <c r="O98" s="357"/>
      <c r="P98" s="357"/>
      <c r="Q98" s="357"/>
      <c r="R98" s="346"/>
      <c r="S98" s="346"/>
      <c r="T98" s="346"/>
      <c r="U98" s="346"/>
      <c r="V98" s="346"/>
      <c r="W98" s="346"/>
      <c r="X98" s="346"/>
      <c r="Y98" s="346"/>
      <c r="Z98" s="346"/>
      <c r="AA98" s="346"/>
      <c r="AB98" s="346"/>
      <c r="AC98" s="346">
        <f t="shared" si="6"/>
        <v>0</v>
      </c>
      <c r="AD98" s="346"/>
      <c r="AE98" s="346"/>
      <c r="AF98" s="350"/>
      <c r="AG98" s="346"/>
      <c r="AH98" s="346"/>
      <c r="AI98" s="346"/>
      <c r="AJ98" s="358">
        <f t="shared" ref="AJ98:AJ104" si="8">(E98*E$6+F98*F$6+G98*G$6+H98*H$6+I98*I$6+J98*J$6+K98*K$6+L98*L$6+M98*M$6+N98*N$6+O98*O$6+P98*P$6+Q98*Q$6+R98*R$6+S98*S$6+T98*T$6+U98*U$6+V98*V$6+W98*W$6+X98*X$6+Y98*Y$6+Z98*Z$6+AA98*AA$6+AB98*AB$6)</f>
        <v>0</v>
      </c>
    </row>
    <row r="99" spans="1:36" s="183" customFormat="1">
      <c r="A99" s="350" t="s">
        <v>213</v>
      </c>
      <c r="B99" s="347" t="s">
        <v>185</v>
      </c>
      <c r="C99" s="347"/>
      <c r="D99" s="347"/>
      <c r="E99" s="346"/>
      <c r="F99" s="347"/>
      <c r="G99" s="346"/>
      <c r="H99" s="346"/>
      <c r="I99" s="346"/>
      <c r="J99" s="346"/>
      <c r="K99" s="346"/>
      <c r="L99" s="346"/>
      <c r="M99" s="346"/>
      <c r="N99" s="357"/>
      <c r="O99" s="357"/>
      <c r="P99" s="357"/>
      <c r="Q99" s="357"/>
      <c r="R99" s="346"/>
      <c r="S99" s="346"/>
      <c r="T99" s="346"/>
      <c r="U99" s="346">
        <v>1</v>
      </c>
      <c r="V99" s="346"/>
      <c r="W99" s="346"/>
      <c r="X99" s="346"/>
      <c r="Y99" s="346"/>
      <c r="Z99" s="346"/>
      <c r="AA99" s="346"/>
      <c r="AB99" s="346"/>
      <c r="AC99" s="346">
        <f t="shared" si="6"/>
        <v>1</v>
      </c>
      <c r="AD99" s="346" t="s">
        <v>444</v>
      </c>
      <c r="AE99" s="346" t="s">
        <v>66</v>
      </c>
      <c r="AF99" s="350" t="s">
        <v>31</v>
      </c>
      <c r="AG99" s="346">
        <v>1.6E-2</v>
      </c>
      <c r="AH99" s="346">
        <v>1.6E-2</v>
      </c>
      <c r="AI99" s="346">
        <v>0.02</v>
      </c>
      <c r="AJ99" s="358">
        <f t="shared" si="8"/>
        <v>281209.5</v>
      </c>
    </row>
    <row r="100" spans="1:36" s="183" customFormat="1">
      <c r="A100" s="350" t="s">
        <v>214</v>
      </c>
      <c r="B100" s="347" t="s">
        <v>186</v>
      </c>
      <c r="C100" s="347"/>
      <c r="D100" s="347"/>
      <c r="E100" s="346"/>
      <c r="F100" s="347"/>
      <c r="G100" s="346"/>
      <c r="H100" s="346"/>
      <c r="I100" s="346"/>
      <c r="J100" s="346"/>
      <c r="K100" s="346"/>
      <c r="L100" s="346"/>
      <c r="M100" s="346"/>
      <c r="N100" s="357"/>
      <c r="O100" s="357"/>
      <c r="P100" s="357"/>
      <c r="Q100" s="357"/>
      <c r="R100" s="346"/>
      <c r="S100" s="346"/>
      <c r="T100" s="346"/>
      <c r="U100" s="346">
        <v>1</v>
      </c>
      <c r="V100" s="346"/>
      <c r="W100" s="346"/>
      <c r="X100" s="346"/>
      <c r="Y100" s="346"/>
      <c r="Z100" s="346"/>
      <c r="AA100" s="346"/>
      <c r="AB100" s="346"/>
      <c r="AC100" s="346">
        <f t="shared" si="6"/>
        <v>1</v>
      </c>
      <c r="AD100" s="346" t="s">
        <v>444</v>
      </c>
      <c r="AE100" s="346" t="s">
        <v>66</v>
      </c>
      <c r="AF100" s="350" t="s">
        <v>31</v>
      </c>
      <c r="AG100" s="346">
        <v>8.0000000000000002E-3</v>
      </c>
      <c r="AH100" s="346">
        <v>8.0000000000000002E-3</v>
      </c>
      <c r="AI100" s="346">
        <v>0.01</v>
      </c>
      <c r="AJ100" s="358">
        <f t="shared" si="8"/>
        <v>281209.5</v>
      </c>
    </row>
    <row r="101" spans="1:36" s="183" customFormat="1" ht="39">
      <c r="A101" s="350" t="s">
        <v>155</v>
      </c>
      <c r="B101" s="347" t="s">
        <v>187</v>
      </c>
      <c r="C101" s="347"/>
      <c r="D101" s="347"/>
      <c r="E101" s="346"/>
      <c r="F101" s="347"/>
      <c r="G101" s="346"/>
      <c r="H101" s="346"/>
      <c r="I101" s="346"/>
      <c r="J101" s="346"/>
      <c r="K101" s="346"/>
      <c r="L101" s="346"/>
      <c r="M101" s="346"/>
      <c r="N101" s="357"/>
      <c r="O101" s="357"/>
      <c r="P101" s="357"/>
      <c r="Q101" s="357"/>
      <c r="R101" s="346"/>
      <c r="S101" s="346"/>
      <c r="T101" s="346"/>
      <c r="U101" s="346">
        <v>1</v>
      </c>
      <c r="V101" s="346"/>
      <c r="W101" s="346"/>
      <c r="X101" s="346"/>
      <c r="Y101" s="346"/>
      <c r="Z101" s="346"/>
      <c r="AA101" s="346"/>
      <c r="AB101" s="346"/>
      <c r="AC101" s="346">
        <f t="shared" si="6"/>
        <v>1</v>
      </c>
      <c r="AD101" s="346" t="s">
        <v>444</v>
      </c>
      <c r="AE101" s="346" t="s">
        <v>66</v>
      </c>
      <c r="AF101" s="350" t="s">
        <v>31</v>
      </c>
      <c r="AG101" s="346">
        <v>4.0000000000000001E-3</v>
      </c>
      <c r="AH101" s="346">
        <v>4.0000000000000001E-3</v>
      </c>
      <c r="AI101" s="346">
        <v>5.0000000000000001E-3</v>
      </c>
      <c r="AJ101" s="358">
        <f t="shared" si="8"/>
        <v>281209.5</v>
      </c>
    </row>
    <row r="102" spans="1:36" s="183" customFormat="1" ht="52">
      <c r="A102" s="350" t="s">
        <v>156</v>
      </c>
      <c r="B102" s="347" t="s">
        <v>200</v>
      </c>
      <c r="C102" s="347"/>
      <c r="D102" s="347"/>
      <c r="E102" s="346"/>
      <c r="F102" s="347"/>
      <c r="G102" s="346"/>
      <c r="H102" s="346"/>
      <c r="I102" s="346"/>
      <c r="J102" s="346"/>
      <c r="K102" s="346"/>
      <c r="L102" s="346"/>
      <c r="M102" s="346"/>
      <c r="N102" s="357"/>
      <c r="O102" s="357"/>
      <c r="P102" s="357"/>
      <c r="Q102" s="357"/>
      <c r="R102" s="346"/>
      <c r="S102" s="346"/>
      <c r="T102" s="346"/>
      <c r="U102" s="346"/>
      <c r="V102" s="346"/>
      <c r="W102" s="346"/>
      <c r="X102" s="346"/>
      <c r="Y102" s="346"/>
      <c r="Z102" s="346"/>
      <c r="AA102" s="346"/>
      <c r="AB102" s="346"/>
      <c r="AC102" s="346">
        <f>SUM(E102:AB102)</f>
        <v>0</v>
      </c>
      <c r="AD102" s="346"/>
      <c r="AE102" s="346"/>
      <c r="AF102" s="350"/>
      <c r="AG102" s="346"/>
      <c r="AH102" s="346"/>
      <c r="AI102" s="346"/>
      <c r="AJ102" s="358">
        <f t="shared" si="8"/>
        <v>0</v>
      </c>
    </row>
    <row r="103" spans="1:36" s="183" customFormat="1">
      <c r="A103" s="350" t="s">
        <v>165</v>
      </c>
      <c r="B103" s="347" t="s">
        <v>163</v>
      </c>
      <c r="C103" s="347"/>
      <c r="D103" s="347"/>
      <c r="E103" s="346"/>
      <c r="F103" s="347"/>
      <c r="G103" s="346"/>
      <c r="H103" s="346"/>
      <c r="I103" s="346"/>
      <c r="J103" s="346"/>
      <c r="K103" s="346"/>
      <c r="L103" s="346"/>
      <c r="M103" s="346"/>
      <c r="N103" s="357"/>
      <c r="O103" s="357"/>
      <c r="P103" s="357"/>
      <c r="Q103" s="357"/>
      <c r="R103" s="346"/>
      <c r="S103" s="346"/>
      <c r="T103" s="346"/>
      <c r="U103" s="346"/>
      <c r="V103" s="346">
        <v>1</v>
      </c>
      <c r="W103" s="346"/>
      <c r="X103" s="346"/>
      <c r="Y103" s="346"/>
      <c r="Z103" s="346"/>
      <c r="AA103" s="346"/>
      <c r="AB103" s="346"/>
      <c r="AC103" s="346">
        <f>SUM(E103:AB103)</f>
        <v>1</v>
      </c>
      <c r="AD103" s="346" t="s">
        <v>1</v>
      </c>
      <c r="AE103" s="346" t="s">
        <v>67</v>
      </c>
      <c r="AF103" s="350" t="s">
        <v>31</v>
      </c>
      <c r="AG103" s="346">
        <v>0.05</v>
      </c>
      <c r="AH103" s="346">
        <v>0</v>
      </c>
      <c r="AI103" s="346">
        <v>0.05</v>
      </c>
      <c r="AJ103" s="358">
        <f t="shared" si="8"/>
        <v>320867.25</v>
      </c>
    </row>
    <row r="104" spans="1:36" s="183" customFormat="1">
      <c r="A104" s="350" t="s">
        <v>167</v>
      </c>
      <c r="B104" s="347" t="s">
        <v>164</v>
      </c>
      <c r="C104" s="347"/>
      <c r="D104" s="347"/>
      <c r="E104" s="346"/>
      <c r="F104" s="347"/>
      <c r="G104" s="346"/>
      <c r="H104" s="346"/>
      <c r="I104" s="346"/>
      <c r="J104" s="346"/>
      <c r="K104" s="346"/>
      <c r="L104" s="346"/>
      <c r="M104" s="346"/>
      <c r="N104" s="357"/>
      <c r="O104" s="357"/>
      <c r="P104" s="357"/>
      <c r="Q104" s="357"/>
      <c r="R104" s="346"/>
      <c r="S104" s="346"/>
      <c r="T104" s="346"/>
      <c r="U104" s="346"/>
      <c r="V104" s="346">
        <v>1</v>
      </c>
      <c r="W104" s="346"/>
      <c r="X104" s="346"/>
      <c r="Y104" s="346"/>
      <c r="Z104" s="346"/>
      <c r="AA104" s="346"/>
      <c r="AB104" s="346"/>
      <c r="AC104" s="346">
        <f>SUM(E104:AB104)</f>
        <v>1</v>
      </c>
      <c r="AD104" s="346" t="s">
        <v>1</v>
      </c>
      <c r="AE104" s="346" t="s">
        <v>67</v>
      </c>
      <c r="AF104" s="350" t="s">
        <v>31</v>
      </c>
      <c r="AG104" s="357">
        <v>0.1</v>
      </c>
      <c r="AH104" s="346">
        <v>0</v>
      </c>
      <c r="AI104" s="346">
        <v>0.1</v>
      </c>
      <c r="AJ104" s="358">
        <f t="shared" si="8"/>
        <v>320867.25</v>
      </c>
    </row>
    <row r="105" spans="1:36">
      <c r="A105" s="883" t="s">
        <v>157</v>
      </c>
      <c r="B105" s="880" t="s">
        <v>512</v>
      </c>
      <c r="C105" s="609"/>
      <c r="D105" s="609"/>
      <c r="E105" s="278"/>
      <c r="F105" s="279"/>
      <c r="G105" s="278"/>
      <c r="H105" s="278"/>
      <c r="I105" s="278"/>
      <c r="J105" s="278"/>
      <c r="K105" s="278"/>
      <c r="L105" s="278">
        <v>1</v>
      </c>
      <c r="M105" s="278"/>
      <c r="N105" s="301"/>
      <c r="O105" s="301"/>
      <c r="P105" s="301"/>
      <c r="Q105" s="301"/>
      <c r="R105" s="278"/>
      <c r="S105" s="278"/>
      <c r="T105" s="278"/>
      <c r="U105" s="278"/>
      <c r="V105" s="278">
        <v>1</v>
      </c>
      <c r="W105" s="278"/>
      <c r="X105" s="278"/>
      <c r="Y105" s="278"/>
      <c r="Z105" s="278"/>
      <c r="AA105" s="278"/>
      <c r="AB105" s="278"/>
      <c r="AC105" s="278">
        <f t="shared" si="6"/>
        <v>2</v>
      </c>
      <c r="AD105" s="889" t="s">
        <v>51</v>
      </c>
      <c r="AE105" s="278" t="s">
        <v>442</v>
      </c>
      <c r="AF105" s="278">
        <v>1</v>
      </c>
      <c r="AG105" s="368">
        <v>0.9</v>
      </c>
      <c r="AH105" s="368">
        <v>0.9</v>
      </c>
      <c r="AI105" s="278">
        <v>1.17</v>
      </c>
      <c r="AJ105" s="351">
        <f t="shared" si="7"/>
        <v>616497.75</v>
      </c>
    </row>
    <row r="106" spans="1:36" ht="15" customHeight="1">
      <c r="A106" s="884"/>
      <c r="B106" s="881"/>
      <c r="C106" s="610"/>
      <c r="D106" s="610"/>
      <c r="E106" s="278">
        <v>1</v>
      </c>
      <c r="F106" s="279"/>
      <c r="G106" s="278"/>
      <c r="H106" s="278"/>
      <c r="I106" s="278"/>
      <c r="J106" s="278"/>
      <c r="K106" s="278"/>
      <c r="L106" s="278"/>
      <c r="M106" s="278"/>
      <c r="N106" s="301"/>
      <c r="O106" s="301"/>
      <c r="P106" s="301"/>
      <c r="Q106" s="301"/>
      <c r="R106" s="278"/>
      <c r="S106" s="278"/>
      <c r="T106" s="278"/>
      <c r="U106" s="278"/>
      <c r="V106" s="278"/>
      <c r="W106" s="278"/>
      <c r="X106" s="278"/>
      <c r="Y106" s="278"/>
      <c r="Z106" s="278"/>
      <c r="AA106" s="278"/>
      <c r="AB106" s="278"/>
      <c r="AC106" s="278">
        <f t="shared" si="6"/>
        <v>1</v>
      </c>
      <c r="AD106" s="889"/>
      <c r="AE106" s="278" t="s">
        <v>197</v>
      </c>
      <c r="AF106" s="278"/>
      <c r="AG106" s="368">
        <v>0.7</v>
      </c>
      <c r="AH106" s="368">
        <v>0.7</v>
      </c>
      <c r="AI106" s="278">
        <v>0.91</v>
      </c>
      <c r="AJ106" s="351">
        <f t="shared" si="7"/>
        <v>151259</v>
      </c>
    </row>
    <row r="107" spans="1:36" ht="15" customHeight="1">
      <c r="A107" s="884"/>
      <c r="B107" s="881"/>
      <c r="C107" s="610"/>
      <c r="D107" s="610"/>
      <c r="E107" s="278"/>
      <c r="F107" s="279"/>
      <c r="G107" s="278"/>
      <c r="H107" s="278"/>
      <c r="I107" s="278"/>
      <c r="J107" s="278"/>
      <c r="K107" s="278"/>
      <c r="L107" s="278">
        <v>1</v>
      </c>
      <c r="M107" s="278"/>
      <c r="N107" s="301"/>
      <c r="O107" s="301"/>
      <c r="P107" s="301"/>
      <c r="Q107" s="301"/>
      <c r="R107" s="278"/>
      <c r="S107" s="278"/>
      <c r="T107" s="278"/>
      <c r="U107" s="278"/>
      <c r="V107" s="278">
        <v>1</v>
      </c>
      <c r="W107" s="278"/>
      <c r="X107" s="278"/>
      <c r="Y107" s="278"/>
      <c r="Z107" s="278"/>
      <c r="AA107" s="278"/>
      <c r="AB107" s="278"/>
      <c r="AC107" s="278">
        <f t="shared" si="6"/>
        <v>2</v>
      </c>
      <c r="AD107" s="889"/>
      <c r="AE107" s="278" t="s">
        <v>442</v>
      </c>
      <c r="AF107" s="278">
        <v>2</v>
      </c>
      <c r="AG107" s="368">
        <v>0.99</v>
      </c>
      <c r="AH107" s="368">
        <v>0.99</v>
      </c>
      <c r="AI107" s="278">
        <v>1.2869999999999999</v>
      </c>
      <c r="AJ107" s="351">
        <f t="shared" si="7"/>
        <v>616497.75</v>
      </c>
    </row>
    <row r="108" spans="1:36" ht="15" customHeight="1">
      <c r="A108" s="884"/>
      <c r="B108" s="881"/>
      <c r="C108" s="610"/>
      <c r="D108" s="610"/>
      <c r="E108" s="278">
        <v>1</v>
      </c>
      <c r="F108" s="279"/>
      <c r="G108" s="278"/>
      <c r="H108" s="278"/>
      <c r="I108" s="278"/>
      <c r="J108" s="278"/>
      <c r="K108" s="278"/>
      <c r="L108" s="278"/>
      <c r="M108" s="278"/>
      <c r="N108" s="301"/>
      <c r="O108" s="301"/>
      <c r="P108" s="301"/>
      <c r="Q108" s="301"/>
      <c r="R108" s="278"/>
      <c r="S108" s="278"/>
      <c r="T108" s="278"/>
      <c r="U108" s="278"/>
      <c r="V108" s="278"/>
      <c r="W108" s="278"/>
      <c r="X108" s="278"/>
      <c r="Y108" s="278"/>
      <c r="Z108" s="278"/>
      <c r="AA108" s="278"/>
      <c r="AB108" s="278"/>
      <c r="AC108" s="278">
        <f t="shared" si="6"/>
        <v>1</v>
      </c>
      <c r="AD108" s="889"/>
      <c r="AE108" s="278" t="s">
        <v>197</v>
      </c>
      <c r="AF108" s="278"/>
      <c r="AG108" s="368">
        <v>0.77</v>
      </c>
      <c r="AH108" s="368">
        <v>0.77</v>
      </c>
      <c r="AI108" s="278">
        <v>1.0009999999999999</v>
      </c>
      <c r="AJ108" s="351">
        <f t="shared" si="7"/>
        <v>151259</v>
      </c>
    </row>
    <row r="109" spans="1:36" ht="15" customHeight="1">
      <c r="A109" s="884"/>
      <c r="B109" s="881"/>
      <c r="C109" s="610"/>
      <c r="D109" s="610"/>
      <c r="E109" s="278"/>
      <c r="F109" s="279"/>
      <c r="G109" s="278"/>
      <c r="H109" s="278"/>
      <c r="I109" s="278"/>
      <c r="J109" s="278"/>
      <c r="K109" s="278"/>
      <c r="L109" s="278">
        <v>1</v>
      </c>
      <c r="M109" s="278"/>
      <c r="N109" s="301"/>
      <c r="O109" s="301"/>
      <c r="P109" s="301"/>
      <c r="Q109" s="301"/>
      <c r="R109" s="278"/>
      <c r="S109" s="278"/>
      <c r="T109" s="278"/>
      <c r="U109" s="278"/>
      <c r="V109" s="278">
        <v>1</v>
      </c>
      <c r="W109" s="278"/>
      <c r="X109" s="278"/>
      <c r="Y109" s="278"/>
      <c r="Z109" s="278"/>
      <c r="AA109" s="278"/>
      <c r="AB109" s="278"/>
      <c r="AC109" s="278">
        <f t="shared" si="6"/>
        <v>2</v>
      </c>
      <c r="AD109" s="889"/>
      <c r="AE109" s="278" t="s">
        <v>442</v>
      </c>
      <c r="AF109" s="278">
        <v>3</v>
      </c>
      <c r="AG109" s="368">
        <v>1.089</v>
      </c>
      <c r="AH109" s="368">
        <v>1.089</v>
      </c>
      <c r="AI109" s="278">
        <v>1.4159999999999999</v>
      </c>
      <c r="AJ109" s="351">
        <f t="shared" si="7"/>
        <v>616497.75</v>
      </c>
    </row>
    <row r="110" spans="1:36" ht="15" customHeight="1">
      <c r="A110" s="885"/>
      <c r="B110" s="882"/>
      <c r="C110" s="611"/>
      <c r="D110" s="611"/>
      <c r="E110" s="278">
        <v>1</v>
      </c>
      <c r="F110" s="279"/>
      <c r="G110" s="278"/>
      <c r="H110" s="278"/>
      <c r="I110" s="278"/>
      <c r="J110" s="278"/>
      <c r="K110" s="278"/>
      <c r="L110" s="278"/>
      <c r="M110" s="278"/>
      <c r="N110" s="301"/>
      <c r="O110" s="301"/>
      <c r="P110" s="301"/>
      <c r="Q110" s="301"/>
      <c r="R110" s="278"/>
      <c r="S110" s="278"/>
      <c r="T110" s="278"/>
      <c r="U110" s="278"/>
      <c r="V110" s="278"/>
      <c r="W110" s="278"/>
      <c r="X110" s="278"/>
      <c r="Y110" s="278"/>
      <c r="Z110" s="278"/>
      <c r="AA110" s="278"/>
      <c r="AB110" s="278"/>
      <c r="AC110" s="278">
        <f t="shared" si="6"/>
        <v>1</v>
      </c>
      <c r="AD110" s="889"/>
      <c r="AE110" s="278" t="s">
        <v>197</v>
      </c>
      <c r="AF110" s="278"/>
      <c r="AG110" s="368">
        <v>0.84699999999999998</v>
      </c>
      <c r="AH110" s="368">
        <v>0.84699999999999998</v>
      </c>
      <c r="AI110" s="278">
        <v>1.101</v>
      </c>
      <c r="AJ110" s="351">
        <f t="shared" si="7"/>
        <v>151259</v>
      </c>
    </row>
    <row r="111" spans="1:36">
      <c r="A111" s="883" t="s">
        <v>158</v>
      </c>
      <c r="B111" s="880" t="s">
        <v>513</v>
      </c>
      <c r="C111" s="609"/>
      <c r="D111" s="609"/>
      <c r="E111" s="278"/>
      <c r="F111" s="279"/>
      <c r="G111" s="278"/>
      <c r="H111" s="278"/>
      <c r="I111" s="278"/>
      <c r="J111" s="278"/>
      <c r="K111" s="278"/>
      <c r="L111" s="278">
        <v>1</v>
      </c>
      <c r="M111" s="278"/>
      <c r="N111" s="301"/>
      <c r="O111" s="301"/>
      <c r="P111" s="301"/>
      <c r="Q111" s="301"/>
      <c r="R111" s="278"/>
      <c r="S111" s="278"/>
      <c r="T111" s="278"/>
      <c r="U111" s="278"/>
      <c r="V111" s="278">
        <v>1</v>
      </c>
      <c r="W111" s="278"/>
      <c r="X111" s="278"/>
      <c r="Y111" s="278"/>
      <c r="Z111" s="278"/>
      <c r="AA111" s="278"/>
      <c r="AB111" s="278"/>
      <c r="AC111" s="278">
        <f t="shared" ref="AC111:AC116" si="9">SUM(E111:AB111)</f>
        <v>2</v>
      </c>
      <c r="AD111" s="889" t="s">
        <v>51</v>
      </c>
      <c r="AE111" s="278" t="s">
        <v>442</v>
      </c>
      <c r="AF111" s="278">
        <v>1</v>
      </c>
      <c r="AG111" s="368">
        <v>1</v>
      </c>
      <c r="AH111" s="368">
        <v>1</v>
      </c>
      <c r="AI111" s="368">
        <v>1.3</v>
      </c>
      <c r="AJ111" s="351">
        <f t="shared" ref="AJ111:AJ116" si="10">(E111*E$6+F111*F$6+G111*G$6+H111*H$6+I111*I$6+J111*J$6+K111*K$6+L111*L$6+M111*M$6+N111*N$6+O111*O$6+P111*P$6+Q111*Q$6+R111*R$6+S111*S$6+T111*T$6+U111*U$6+V111*V$6+W111*W$6+X111*X$6+Y111*Y$6+Z111*Z$6+AA111*AA$6+AB111*AB$6)</f>
        <v>616497.75</v>
      </c>
    </row>
    <row r="112" spans="1:36" ht="15" customHeight="1">
      <c r="A112" s="884"/>
      <c r="B112" s="881"/>
      <c r="C112" s="610"/>
      <c r="D112" s="610"/>
      <c r="E112" s="278">
        <v>1</v>
      </c>
      <c r="F112" s="279"/>
      <c r="G112" s="278"/>
      <c r="H112" s="278"/>
      <c r="I112" s="278"/>
      <c r="J112" s="278"/>
      <c r="K112" s="278"/>
      <c r="L112" s="278"/>
      <c r="M112" s="278"/>
      <c r="N112" s="301"/>
      <c r="O112" s="301"/>
      <c r="P112" s="301"/>
      <c r="Q112" s="301"/>
      <c r="R112" s="278"/>
      <c r="S112" s="278"/>
      <c r="T112" s="278"/>
      <c r="U112" s="278"/>
      <c r="V112" s="278"/>
      <c r="W112" s="278"/>
      <c r="X112" s="278"/>
      <c r="Y112" s="278"/>
      <c r="Z112" s="278"/>
      <c r="AA112" s="278"/>
      <c r="AB112" s="278"/>
      <c r="AC112" s="278">
        <f t="shared" si="9"/>
        <v>1</v>
      </c>
      <c r="AD112" s="889"/>
      <c r="AE112" s="278" t="s">
        <v>197</v>
      </c>
      <c r="AF112" s="278"/>
      <c r="AG112" s="368">
        <v>0.59</v>
      </c>
      <c r="AH112" s="368">
        <v>0.59</v>
      </c>
      <c r="AI112" s="368">
        <v>0.76700000000000002</v>
      </c>
      <c r="AJ112" s="351">
        <f t="shared" si="10"/>
        <v>151259</v>
      </c>
    </row>
    <row r="113" spans="1:36" ht="15" customHeight="1">
      <c r="A113" s="884"/>
      <c r="B113" s="881"/>
      <c r="C113" s="610"/>
      <c r="D113" s="610"/>
      <c r="E113" s="278"/>
      <c r="F113" s="279"/>
      <c r="G113" s="278"/>
      <c r="H113" s="278"/>
      <c r="I113" s="278"/>
      <c r="J113" s="278"/>
      <c r="K113" s="278"/>
      <c r="L113" s="278">
        <v>1</v>
      </c>
      <c r="M113" s="278"/>
      <c r="N113" s="301"/>
      <c r="O113" s="301"/>
      <c r="P113" s="301"/>
      <c r="Q113" s="301"/>
      <c r="R113" s="278"/>
      <c r="S113" s="278"/>
      <c r="T113" s="278"/>
      <c r="U113" s="278"/>
      <c r="V113" s="278">
        <v>1</v>
      </c>
      <c r="W113" s="278"/>
      <c r="X113" s="278"/>
      <c r="Y113" s="278"/>
      <c r="Z113" s="278"/>
      <c r="AA113" s="278"/>
      <c r="AB113" s="278"/>
      <c r="AC113" s="278">
        <f t="shared" si="9"/>
        <v>2</v>
      </c>
      <c r="AD113" s="889"/>
      <c r="AE113" s="278" t="s">
        <v>442</v>
      </c>
      <c r="AF113" s="278">
        <v>2</v>
      </c>
      <c r="AG113" s="368">
        <v>1.1000000000000001</v>
      </c>
      <c r="AH113" s="368">
        <v>1.1000000000000001</v>
      </c>
      <c r="AI113" s="368">
        <v>1.43</v>
      </c>
      <c r="AJ113" s="351">
        <f t="shared" si="10"/>
        <v>616497.75</v>
      </c>
    </row>
    <row r="114" spans="1:36" ht="15" customHeight="1">
      <c r="A114" s="884"/>
      <c r="B114" s="881"/>
      <c r="C114" s="610"/>
      <c r="D114" s="610"/>
      <c r="E114" s="278">
        <v>1</v>
      </c>
      <c r="F114" s="279"/>
      <c r="G114" s="278"/>
      <c r="H114" s="278"/>
      <c r="I114" s="278"/>
      <c r="J114" s="278"/>
      <c r="K114" s="278"/>
      <c r="L114" s="278"/>
      <c r="M114" s="278"/>
      <c r="N114" s="301"/>
      <c r="O114" s="301"/>
      <c r="P114" s="301"/>
      <c r="Q114" s="301"/>
      <c r="R114" s="278"/>
      <c r="S114" s="278"/>
      <c r="T114" s="278"/>
      <c r="U114" s="278"/>
      <c r="V114" s="278"/>
      <c r="W114" s="278"/>
      <c r="X114" s="278"/>
      <c r="Y114" s="278"/>
      <c r="Z114" s="278"/>
      <c r="AA114" s="278"/>
      <c r="AB114" s="278"/>
      <c r="AC114" s="278">
        <f t="shared" si="9"/>
        <v>1</v>
      </c>
      <c r="AD114" s="889"/>
      <c r="AE114" s="278" t="s">
        <v>197</v>
      </c>
      <c r="AF114" s="278"/>
      <c r="AG114" s="368">
        <v>0.65</v>
      </c>
      <c r="AH114" s="368">
        <v>0.65</v>
      </c>
      <c r="AI114" s="368">
        <v>0.84499999999999997</v>
      </c>
      <c r="AJ114" s="351">
        <f t="shared" si="10"/>
        <v>151259</v>
      </c>
    </row>
    <row r="115" spans="1:36" ht="15" customHeight="1">
      <c r="A115" s="884"/>
      <c r="B115" s="881"/>
      <c r="C115" s="610"/>
      <c r="D115" s="610"/>
      <c r="E115" s="278"/>
      <c r="F115" s="279"/>
      <c r="G115" s="278"/>
      <c r="H115" s="278"/>
      <c r="I115" s="278"/>
      <c r="J115" s="278"/>
      <c r="K115" s="278"/>
      <c r="L115" s="278">
        <v>1</v>
      </c>
      <c r="M115" s="278"/>
      <c r="N115" s="301"/>
      <c r="O115" s="301"/>
      <c r="P115" s="301"/>
      <c r="Q115" s="301"/>
      <c r="R115" s="278"/>
      <c r="S115" s="278"/>
      <c r="T115" s="278"/>
      <c r="U115" s="278"/>
      <c r="V115" s="278">
        <v>1</v>
      </c>
      <c r="W115" s="278"/>
      <c r="X115" s="278"/>
      <c r="Y115" s="278"/>
      <c r="Z115" s="278"/>
      <c r="AA115" s="278"/>
      <c r="AB115" s="278"/>
      <c r="AC115" s="278">
        <f t="shared" si="9"/>
        <v>2</v>
      </c>
      <c r="AD115" s="889"/>
      <c r="AE115" s="278" t="s">
        <v>442</v>
      </c>
      <c r="AF115" s="278">
        <v>3</v>
      </c>
      <c r="AG115" s="368">
        <v>1.21</v>
      </c>
      <c r="AH115" s="368">
        <v>1.21</v>
      </c>
      <c r="AI115" s="368">
        <v>1.573</v>
      </c>
      <c r="AJ115" s="351">
        <f t="shared" si="10"/>
        <v>616497.75</v>
      </c>
    </row>
    <row r="116" spans="1:36" ht="15" customHeight="1">
      <c r="A116" s="885"/>
      <c r="B116" s="882"/>
      <c r="C116" s="611"/>
      <c r="D116" s="611"/>
      <c r="E116" s="278">
        <v>1</v>
      </c>
      <c r="F116" s="279"/>
      <c r="G116" s="278"/>
      <c r="H116" s="278"/>
      <c r="I116" s="278"/>
      <c r="J116" s="278"/>
      <c r="K116" s="278"/>
      <c r="L116" s="278"/>
      <c r="M116" s="278"/>
      <c r="N116" s="301"/>
      <c r="O116" s="301"/>
      <c r="P116" s="301"/>
      <c r="Q116" s="301"/>
      <c r="R116" s="278"/>
      <c r="S116" s="278"/>
      <c r="T116" s="278"/>
      <c r="U116" s="278"/>
      <c r="V116" s="278"/>
      <c r="W116" s="278"/>
      <c r="X116" s="278"/>
      <c r="Y116" s="278"/>
      <c r="Z116" s="278"/>
      <c r="AA116" s="278"/>
      <c r="AB116" s="278"/>
      <c r="AC116" s="278">
        <f t="shared" si="9"/>
        <v>1</v>
      </c>
      <c r="AD116" s="889"/>
      <c r="AE116" s="278" t="s">
        <v>197</v>
      </c>
      <c r="AF116" s="278"/>
      <c r="AG116" s="368">
        <v>0.71</v>
      </c>
      <c r="AH116" s="368">
        <v>0.71</v>
      </c>
      <c r="AI116" s="368">
        <v>0.92300000000000004</v>
      </c>
      <c r="AJ116" s="351">
        <f t="shared" si="10"/>
        <v>151259</v>
      </c>
    </row>
    <row r="117" spans="1:36" s="231" customFormat="1" ht="26">
      <c r="A117" s="311">
        <v>9</v>
      </c>
      <c r="B117" s="312" t="s">
        <v>514</v>
      </c>
      <c r="C117" s="312"/>
      <c r="D117" s="312"/>
      <c r="E117" s="346"/>
      <c r="F117" s="347"/>
      <c r="G117" s="346"/>
      <c r="H117" s="346"/>
      <c r="I117" s="346"/>
      <c r="J117" s="346"/>
      <c r="K117" s="346"/>
      <c r="L117" s="346"/>
      <c r="M117" s="346"/>
      <c r="N117" s="357"/>
      <c r="O117" s="357"/>
      <c r="P117" s="357"/>
      <c r="Q117" s="357"/>
      <c r="R117" s="346"/>
      <c r="S117" s="346"/>
      <c r="T117" s="346"/>
      <c r="U117" s="346"/>
      <c r="V117" s="346">
        <v>1</v>
      </c>
      <c r="W117" s="346"/>
      <c r="X117" s="346"/>
      <c r="Y117" s="346"/>
      <c r="Z117" s="346"/>
      <c r="AA117" s="346"/>
      <c r="AB117" s="346"/>
      <c r="AC117" s="346">
        <f t="shared" si="6"/>
        <v>1</v>
      </c>
      <c r="AD117" s="346" t="s">
        <v>51</v>
      </c>
      <c r="AE117" s="346" t="s">
        <v>104</v>
      </c>
      <c r="AF117" s="350" t="s">
        <v>31</v>
      </c>
      <c r="AG117" s="346">
        <v>0.05</v>
      </c>
      <c r="AH117" s="346">
        <v>0.05</v>
      </c>
      <c r="AI117" s="346">
        <v>0.05</v>
      </c>
      <c r="AJ117" s="358">
        <f t="shared" si="7"/>
        <v>320867.25</v>
      </c>
    </row>
    <row r="118" spans="1:36" s="231" customFormat="1" ht="39">
      <c r="A118" s="311">
        <v>10</v>
      </c>
      <c r="B118" s="312" t="s">
        <v>660</v>
      </c>
      <c r="C118" s="312"/>
      <c r="D118" s="312"/>
      <c r="E118" s="346"/>
      <c r="F118" s="347"/>
      <c r="G118" s="346"/>
      <c r="H118" s="346"/>
      <c r="I118" s="346"/>
      <c r="J118" s="346"/>
      <c r="K118" s="346"/>
      <c r="L118" s="346">
        <v>1</v>
      </c>
      <c r="M118" s="346"/>
      <c r="N118" s="357"/>
      <c r="O118" s="357"/>
      <c r="P118" s="357"/>
      <c r="Q118" s="357"/>
      <c r="R118" s="346"/>
      <c r="S118" s="346"/>
      <c r="T118" s="346"/>
      <c r="U118" s="346"/>
      <c r="V118" s="346"/>
      <c r="W118" s="346"/>
      <c r="X118" s="346"/>
      <c r="Y118" s="346"/>
      <c r="Z118" s="346"/>
      <c r="AA118" s="346"/>
      <c r="AB118" s="346"/>
      <c r="AC118" s="346">
        <f t="shared" si="6"/>
        <v>1</v>
      </c>
      <c r="AD118" s="346" t="s">
        <v>51</v>
      </c>
      <c r="AE118" s="346" t="s">
        <v>106</v>
      </c>
      <c r="AF118" s="350" t="s">
        <v>31</v>
      </c>
      <c r="AG118" s="346">
        <v>0.06</v>
      </c>
      <c r="AH118" s="346">
        <v>0.06</v>
      </c>
      <c r="AI118" s="346">
        <v>7.8E-2</v>
      </c>
      <c r="AJ118" s="358">
        <f t="shared" si="7"/>
        <v>295630.50000000006</v>
      </c>
    </row>
    <row r="119" spans="1:36" ht="26">
      <c r="A119" s="311">
        <v>11</v>
      </c>
      <c r="B119" s="312" t="s">
        <v>487</v>
      </c>
      <c r="C119" s="312"/>
      <c r="D119" s="312"/>
      <c r="E119" s="278"/>
      <c r="F119" s="279"/>
      <c r="G119" s="278"/>
      <c r="H119" s="278"/>
      <c r="I119" s="278"/>
      <c r="J119" s="278"/>
      <c r="K119" s="278"/>
      <c r="L119" s="278"/>
      <c r="M119" s="278"/>
      <c r="N119" s="301"/>
      <c r="O119" s="301"/>
      <c r="P119" s="301"/>
      <c r="Q119" s="301"/>
      <c r="R119" s="278"/>
      <c r="S119" s="278"/>
      <c r="T119" s="278"/>
      <c r="U119" s="278"/>
      <c r="V119" s="278"/>
      <c r="W119" s="278"/>
      <c r="X119" s="278"/>
      <c r="Y119" s="278"/>
      <c r="Z119" s="278"/>
      <c r="AA119" s="278"/>
      <c r="AB119" s="278"/>
      <c r="AC119" s="278"/>
      <c r="AD119" s="278"/>
      <c r="AE119" s="278"/>
      <c r="AF119" s="278"/>
      <c r="AG119" s="278"/>
      <c r="AH119" s="278"/>
      <c r="AI119" s="278"/>
      <c r="AJ119" s="351"/>
    </row>
    <row r="120" spans="1:36" s="124" customFormat="1">
      <c r="A120" s="439">
        <v>11.1</v>
      </c>
      <c r="B120" s="440" t="s">
        <v>149</v>
      </c>
      <c r="C120" s="440"/>
      <c r="D120" s="440"/>
      <c r="E120" s="433"/>
      <c r="F120" s="434"/>
      <c r="G120" s="433"/>
      <c r="H120" s="433"/>
      <c r="I120" s="433"/>
      <c r="J120" s="433"/>
      <c r="K120" s="433"/>
      <c r="L120" s="433"/>
      <c r="M120" s="433"/>
      <c r="N120" s="435"/>
      <c r="O120" s="435"/>
      <c r="P120" s="435"/>
      <c r="Q120" s="435"/>
      <c r="R120" s="433"/>
      <c r="S120" s="433"/>
      <c r="T120" s="433"/>
      <c r="U120" s="433"/>
      <c r="V120" s="433"/>
      <c r="W120" s="433">
        <v>1</v>
      </c>
      <c r="X120" s="433"/>
      <c r="Y120" s="433"/>
      <c r="Z120" s="433"/>
      <c r="AA120" s="433"/>
      <c r="AB120" s="433"/>
      <c r="AC120" s="433">
        <f t="shared" si="6"/>
        <v>1</v>
      </c>
      <c r="AD120" s="433" t="s">
        <v>51</v>
      </c>
      <c r="AE120" s="433" t="s">
        <v>104</v>
      </c>
      <c r="AF120" s="436" t="s">
        <v>31</v>
      </c>
      <c r="AG120" s="435">
        <v>0.2</v>
      </c>
      <c r="AH120" s="437">
        <v>0.2</v>
      </c>
      <c r="AI120" s="437">
        <v>0.26</v>
      </c>
      <c r="AJ120" s="438">
        <f t="shared" si="7"/>
        <v>360525</v>
      </c>
    </row>
    <row r="121" spans="1:36" s="124" customFormat="1">
      <c r="A121" s="439">
        <v>11.2</v>
      </c>
      <c r="B121" s="440" t="s">
        <v>151</v>
      </c>
      <c r="C121" s="440"/>
      <c r="D121" s="440"/>
      <c r="E121" s="570"/>
      <c r="F121" s="571"/>
      <c r="G121" s="570"/>
      <c r="H121" s="570"/>
      <c r="I121" s="570"/>
      <c r="J121" s="570"/>
      <c r="K121" s="570"/>
      <c r="L121" s="570"/>
      <c r="M121" s="570"/>
      <c r="N121" s="572"/>
      <c r="O121" s="572"/>
      <c r="P121" s="572"/>
      <c r="Q121" s="572"/>
      <c r="R121" s="570"/>
      <c r="S121" s="570"/>
      <c r="T121" s="570"/>
      <c r="U121" s="570"/>
      <c r="V121" s="570"/>
      <c r="W121" s="570">
        <v>1</v>
      </c>
      <c r="X121" s="570"/>
      <c r="Y121" s="570"/>
      <c r="Z121" s="570"/>
      <c r="AA121" s="570"/>
      <c r="AB121" s="570"/>
      <c r="AC121" s="570">
        <f t="shared" si="6"/>
        <v>1</v>
      </c>
      <c r="AD121" s="570" t="s">
        <v>51</v>
      </c>
      <c r="AE121" s="570" t="s">
        <v>104</v>
      </c>
      <c r="AF121" s="573" t="s">
        <v>31</v>
      </c>
      <c r="AG121" s="570">
        <v>0.15</v>
      </c>
      <c r="AH121" s="570">
        <v>0.15</v>
      </c>
      <c r="AI121" s="570">
        <v>0.19500000000000001</v>
      </c>
      <c r="AJ121" s="574">
        <f t="shared" si="7"/>
        <v>360525</v>
      </c>
    </row>
    <row r="122" spans="1:36" s="183" customFormat="1" ht="26">
      <c r="A122" s="569" t="s">
        <v>179</v>
      </c>
      <c r="B122" s="312" t="s">
        <v>488</v>
      </c>
      <c r="C122" s="312"/>
      <c r="D122" s="312"/>
      <c r="E122" s="311"/>
      <c r="F122" s="366"/>
      <c r="G122" s="311"/>
      <c r="H122" s="311"/>
      <c r="I122" s="311"/>
      <c r="J122" s="311"/>
      <c r="K122" s="311"/>
      <c r="L122" s="311"/>
      <c r="M122" s="311"/>
      <c r="N122" s="367"/>
      <c r="O122" s="367"/>
      <c r="P122" s="367"/>
      <c r="Q122" s="367"/>
      <c r="R122" s="311"/>
      <c r="S122" s="311"/>
      <c r="T122" s="311"/>
      <c r="U122" s="311"/>
      <c r="V122" s="311"/>
      <c r="W122" s="311">
        <v>1</v>
      </c>
      <c r="X122" s="311"/>
      <c r="Y122" s="311"/>
      <c r="Z122" s="311"/>
      <c r="AA122" s="311"/>
      <c r="AB122" s="311"/>
      <c r="AC122" s="311">
        <f t="shared" si="6"/>
        <v>1</v>
      </c>
      <c r="AD122" s="446" t="s">
        <v>51</v>
      </c>
      <c r="AE122" s="311" t="s">
        <v>104</v>
      </c>
      <c r="AF122" s="569" t="s">
        <v>31</v>
      </c>
      <c r="AG122" s="415">
        <v>0.5</v>
      </c>
      <c r="AH122" s="415">
        <v>0.5</v>
      </c>
      <c r="AI122" s="415">
        <v>0.65</v>
      </c>
      <c r="AJ122" s="374">
        <f t="shared" si="7"/>
        <v>360525</v>
      </c>
    </row>
    <row r="123" spans="1:36">
      <c r="A123" s="224" t="s">
        <v>180</v>
      </c>
      <c r="B123" s="312" t="s">
        <v>527</v>
      </c>
      <c r="C123" s="312"/>
      <c r="D123" s="312"/>
      <c r="E123" s="226"/>
      <c r="F123" s="227"/>
      <c r="G123" s="226"/>
      <c r="H123" s="226"/>
      <c r="I123" s="226"/>
      <c r="J123" s="226"/>
      <c r="K123" s="226"/>
      <c r="L123" s="226"/>
      <c r="M123" s="226"/>
      <c r="N123" s="363"/>
      <c r="O123" s="363"/>
      <c r="P123" s="363"/>
      <c r="Q123" s="363"/>
      <c r="R123" s="226"/>
      <c r="S123" s="226"/>
      <c r="T123" s="226"/>
      <c r="U123" s="226"/>
      <c r="V123" s="226"/>
      <c r="W123" s="226"/>
      <c r="X123" s="226"/>
      <c r="Y123" s="226"/>
      <c r="Z123" s="226"/>
      <c r="AA123" s="226"/>
      <c r="AB123" s="226"/>
      <c r="AC123" s="226">
        <f t="shared" si="6"/>
        <v>0</v>
      </c>
      <c r="AD123" s="226"/>
      <c r="AE123" s="226"/>
      <c r="AF123" s="226"/>
      <c r="AG123" s="226"/>
      <c r="AH123" s="226"/>
      <c r="AI123" s="226"/>
      <c r="AJ123" s="364">
        <f t="shared" si="7"/>
        <v>0</v>
      </c>
    </row>
    <row r="124" spans="1:36" s="305" customFormat="1">
      <c r="A124" s="563" t="s">
        <v>221</v>
      </c>
      <c r="B124" s="440" t="s">
        <v>149</v>
      </c>
      <c r="C124" s="440"/>
      <c r="D124" s="440"/>
      <c r="E124" s="439"/>
      <c r="F124" s="564"/>
      <c r="G124" s="439"/>
      <c r="H124" s="439"/>
      <c r="I124" s="439"/>
      <c r="J124" s="439"/>
      <c r="K124" s="439"/>
      <c r="L124" s="439"/>
      <c r="M124" s="439"/>
      <c r="N124" s="575"/>
      <c r="O124" s="575"/>
      <c r="P124" s="575"/>
      <c r="Q124" s="575"/>
      <c r="R124" s="439"/>
      <c r="S124" s="439"/>
      <c r="T124" s="439"/>
      <c r="U124" s="439"/>
      <c r="V124" s="439"/>
      <c r="W124" s="439">
        <v>1</v>
      </c>
      <c r="X124" s="439"/>
      <c r="Y124" s="439"/>
      <c r="Z124" s="439"/>
      <c r="AA124" s="439"/>
      <c r="AB124" s="439"/>
      <c r="AC124" s="439">
        <f t="shared" si="6"/>
        <v>1</v>
      </c>
      <c r="AD124" s="439" t="s">
        <v>51</v>
      </c>
      <c r="AE124" s="439" t="s">
        <v>104</v>
      </c>
      <c r="AF124" s="563" t="s">
        <v>31</v>
      </c>
      <c r="AG124" s="451">
        <v>0.05</v>
      </c>
      <c r="AH124" s="439">
        <v>0.05</v>
      </c>
      <c r="AI124" s="439">
        <v>6.5000000000000002E-2</v>
      </c>
      <c r="AJ124" s="576">
        <f t="shared" si="7"/>
        <v>360525</v>
      </c>
    </row>
    <row r="125" spans="1:36" s="305" customFormat="1">
      <c r="A125" s="563" t="s">
        <v>222</v>
      </c>
      <c r="B125" s="440" t="s">
        <v>151</v>
      </c>
      <c r="C125" s="440"/>
      <c r="D125" s="440"/>
      <c r="E125" s="439"/>
      <c r="F125" s="564"/>
      <c r="G125" s="439"/>
      <c r="H125" s="439"/>
      <c r="I125" s="439"/>
      <c r="J125" s="439"/>
      <c r="K125" s="439"/>
      <c r="L125" s="439"/>
      <c r="M125" s="439"/>
      <c r="N125" s="575"/>
      <c r="O125" s="575"/>
      <c r="P125" s="575"/>
      <c r="Q125" s="575"/>
      <c r="R125" s="439"/>
      <c r="S125" s="439"/>
      <c r="T125" s="439"/>
      <c r="U125" s="439"/>
      <c r="V125" s="439"/>
      <c r="W125" s="439">
        <v>1</v>
      </c>
      <c r="X125" s="439"/>
      <c r="Y125" s="439"/>
      <c r="Z125" s="439"/>
      <c r="AA125" s="439"/>
      <c r="AB125" s="439"/>
      <c r="AC125" s="439">
        <f t="shared" si="6"/>
        <v>1</v>
      </c>
      <c r="AD125" s="439" t="s">
        <v>51</v>
      </c>
      <c r="AE125" s="439" t="s">
        <v>104</v>
      </c>
      <c r="AF125" s="563" t="s">
        <v>31</v>
      </c>
      <c r="AG125" s="451">
        <v>2.5000000000000001E-2</v>
      </c>
      <c r="AH125" s="439">
        <v>2.5000000000000001E-2</v>
      </c>
      <c r="AI125" s="439">
        <v>3.3000000000000002E-2</v>
      </c>
      <c r="AJ125" s="576">
        <f t="shared" si="7"/>
        <v>360525</v>
      </c>
    </row>
    <row r="126" spans="1:36" s="183" customFormat="1">
      <c r="A126" s="569" t="s">
        <v>182</v>
      </c>
      <c r="B126" s="366" t="s">
        <v>516</v>
      </c>
      <c r="C126" s="366"/>
      <c r="D126" s="366"/>
      <c r="E126" s="311"/>
      <c r="F126" s="366"/>
      <c r="G126" s="311"/>
      <c r="H126" s="311"/>
      <c r="I126" s="311"/>
      <c r="J126" s="311"/>
      <c r="K126" s="311"/>
      <c r="L126" s="311"/>
      <c r="M126" s="311"/>
      <c r="N126" s="367"/>
      <c r="O126" s="367"/>
      <c r="P126" s="367"/>
      <c r="Q126" s="367"/>
      <c r="R126" s="311"/>
      <c r="S126" s="311"/>
      <c r="T126" s="311"/>
      <c r="U126" s="311"/>
      <c r="V126" s="311"/>
      <c r="W126" s="311">
        <v>1</v>
      </c>
      <c r="X126" s="311"/>
      <c r="Y126" s="311"/>
      <c r="Z126" s="311"/>
      <c r="AA126" s="311"/>
      <c r="AB126" s="311"/>
      <c r="AC126" s="311">
        <f t="shared" si="6"/>
        <v>1</v>
      </c>
      <c r="AD126" s="311" t="s">
        <v>51</v>
      </c>
      <c r="AE126" s="311" t="s">
        <v>104</v>
      </c>
      <c r="AF126" s="569" t="s">
        <v>31</v>
      </c>
      <c r="AG126" s="367">
        <v>0.05</v>
      </c>
      <c r="AH126" s="311">
        <v>0.05</v>
      </c>
      <c r="AI126" s="311">
        <v>0.05</v>
      </c>
      <c r="AJ126" s="374">
        <f t="shared" si="7"/>
        <v>360525</v>
      </c>
    </row>
    <row r="127" spans="1:36" s="183" customFormat="1" ht="39">
      <c r="A127" s="350" t="s">
        <v>189</v>
      </c>
      <c r="B127" s="347" t="s">
        <v>517</v>
      </c>
      <c r="C127" s="347"/>
      <c r="D127" s="347"/>
      <c r="E127" s="346"/>
      <c r="F127" s="347"/>
      <c r="G127" s="346"/>
      <c r="H127" s="346"/>
      <c r="I127" s="346"/>
      <c r="J127" s="346"/>
      <c r="K127" s="346"/>
      <c r="L127" s="346"/>
      <c r="M127" s="346"/>
      <c r="N127" s="357"/>
      <c r="O127" s="357"/>
      <c r="P127" s="357"/>
      <c r="Q127" s="357"/>
      <c r="R127" s="346"/>
      <c r="S127" s="346"/>
      <c r="T127" s="346"/>
      <c r="U127" s="346"/>
      <c r="V127" s="346">
        <v>1</v>
      </c>
      <c r="W127" s="346"/>
      <c r="X127" s="346"/>
      <c r="Y127" s="346"/>
      <c r="Z127" s="346"/>
      <c r="AA127" s="346"/>
      <c r="AB127" s="346"/>
      <c r="AC127" s="346">
        <f t="shared" si="6"/>
        <v>1</v>
      </c>
      <c r="AD127" s="346" t="s">
        <v>51</v>
      </c>
      <c r="AE127" s="346" t="s">
        <v>67</v>
      </c>
      <c r="AF127" s="350" t="s">
        <v>31</v>
      </c>
      <c r="AG127" s="357">
        <v>0.2</v>
      </c>
      <c r="AH127" s="357">
        <v>0.2</v>
      </c>
      <c r="AI127" s="357">
        <v>0.2</v>
      </c>
      <c r="AJ127" s="358">
        <f t="shared" si="7"/>
        <v>320867.25</v>
      </c>
    </row>
    <row r="128" spans="1:36" s="231" customFormat="1" ht="52">
      <c r="A128" s="311">
        <v>16</v>
      </c>
      <c r="B128" s="347" t="s">
        <v>528</v>
      </c>
      <c r="C128" s="347"/>
      <c r="D128" s="347"/>
      <c r="E128" s="346"/>
      <c r="F128" s="347"/>
      <c r="G128" s="346"/>
      <c r="H128" s="346"/>
      <c r="I128" s="346"/>
      <c r="J128" s="346"/>
      <c r="K128" s="346"/>
      <c r="L128" s="346"/>
      <c r="M128" s="346"/>
      <c r="N128" s="357"/>
      <c r="O128" s="357"/>
      <c r="P128" s="357"/>
      <c r="Q128" s="357"/>
      <c r="R128" s="346"/>
      <c r="S128" s="346"/>
      <c r="T128" s="346"/>
      <c r="U128" s="346"/>
      <c r="V128" s="346">
        <v>1</v>
      </c>
      <c r="W128" s="346"/>
      <c r="X128" s="346"/>
      <c r="Y128" s="346"/>
      <c r="Z128" s="346"/>
      <c r="AA128" s="346"/>
      <c r="AB128" s="346"/>
      <c r="AC128" s="346">
        <f t="shared" si="6"/>
        <v>1</v>
      </c>
      <c r="AD128" s="346" t="s">
        <v>51</v>
      </c>
      <c r="AE128" s="346" t="s">
        <v>67</v>
      </c>
      <c r="AF128" s="350" t="s">
        <v>31</v>
      </c>
      <c r="AG128" s="346">
        <v>0.05</v>
      </c>
      <c r="AH128" s="346">
        <v>0.05</v>
      </c>
      <c r="AI128" s="346">
        <v>0.05</v>
      </c>
      <c r="AJ128" s="358">
        <f t="shared" si="7"/>
        <v>320867.25</v>
      </c>
    </row>
    <row r="129" spans="1:36" s="333" customFormat="1" ht="39">
      <c r="A129" s="311">
        <v>17</v>
      </c>
      <c r="B129" s="347" t="s">
        <v>519</v>
      </c>
      <c r="C129" s="347"/>
      <c r="D129" s="347"/>
      <c r="E129" s="362"/>
      <c r="F129" s="362"/>
      <c r="G129" s="362"/>
      <c r="H129" s="362"/>
      <c r="I129" s="362"/>
      <c r="J129" s="362"/>
      <c r="K129" s="362"/>
      <c r="L129" s="362"/>
      <c r="M129" s="362"/>
      <c r="N129" s="362"/>
      <c r="O129" s="362"/>
      <c r="P129" s="362"/>
      <c r="Q129" s="362"/>
      <c r="R129" s="362"/>
      <c r="S129" s="362"/>
      <c r="T129" s="362"/>
      <c r="U129" s="362"/>
      <c r="V129" s="362"/>
      <c r="W129" s="362"/>
      <c r="X129" s="362"/>
      <c r="Y129" s="362"/>
      <c r="Z129" s="362"/>
      <c r="AA129" s="362"/>
      <c r="AB129" s="362"/>
      <c r="AC129" s="362"/>
      <c r="AD129" s="278"/>
      <c r="AE129" s="362"/>
      <c r="AF129" s="362"/>
      <c r="AG129" s="362"/>
      <c r="AH129" s="362"/>
      <c r="AI129" s="362"/>
      <c r="AJ129" s="362"/>
    </row>
    <row r="130" spans="1:36" s="431" customFormat="1" ht="26.5" customHeight="1">
      <c r="A130" s="439">
        <v>17.100000000000001</v>
      </c>
      <c r="B130" s="365" t="s">
        <v>470</v>
      </c>
      <c r="C130" s="365"/>
      <c r="D130" s="365"/>
      <c r="E130" s="429"/>
      <c r="F130" s="429"/>
      <c r="G130" s="429"/>
      <c r="H130" s="429"/>
      <c r="I130" s="429"/>
      <c r="J130" s="429"/>
      <c r="K130" s="429"/>
      <c r="L130" s="429"/>
      <c r="M130" s="429"/>
      <c r="N130" s="429"/>
      <c r="O130" s="429"/>
      <c r="P130" s="429"/>
      <c r="Q130" s="429"/>
      <c r="R130" s="429"/>
      <c r="S130" s="429"/>
      <c r="T130" s="429"/>
      <c r="U130" s="429"/>
      <c r="V130" s="430"/>
      <c r="W130" s="430">
        <v>1</v>
      </c>
      <c r="X130" s="429"/>
      <c r="Y130" s="429"/>
      <c r="Z130" s="429"/>
      <c r="AA130" s="429"/>
      <c r="AB130" s="429"/>
      <c r="AC130" s="430">
        <f>SUM(E130:AB130)</f>
        <v>1</v>
      </c>
      <c r="AD130" s="430" t="s">
        <v>51</v>
      </c>
      <c r="AE130" s="424" t="s">
        <v>104</v>
      </c>
      <c r="AF130" s="304" t="s">
        <v>31</v>
      </c>
      <c r="AG130" s="427">
        <v>0.1</v>
      </c>
      <c r="AH130" s="427">
        <v>0.1</v>
      </c>
      <c r="AI130" s="427">
        <v>0.13</v>
      </c>
      <c r="AJ130" s="432">
        <f t="shared" si="7"/>
        <v>360525</v>
      </c>
    </row>
    <row r="131" spans="1:36" s="431" customFormat="1" ht="26.5" customHeight="1">
      <c r="A131" s="439">
        <v>17.2</v>
      </c>
      <c r="B131" s="365" t="s">
        <v>471</v>
      </c>
      <c r="C131" s="365"/>
      <c r="D131" s="365"/>
      <c r="E131" s="429"/>
      <c r="F131" s="429"/>
      <c r="G131" s="429"/>
      <c r="H131" s="429"/>
      <c r="I131" s="429"/>
      <c r="J131" s="429"/>
      <c r="K131" s="429"/>
      <c r="L131" s="429"/>
      <c r="M131" s="429"/>
      <c r="N131" s="429"/>
      <c r="O131" s="429"/>
      <c r="P131" s="429"/>
      <c r="Q131" s="429"/>
      <c r="R131" s="429"/>
      <c r="S131" s="429"/>
      <c r="T131" s="429"/>
      <c r="U131" s="429"/>
      <c r="V131" s="430"/>
      <c r="W131" s="430">
        <v>1</v>
      </c>
      <c r="X131" s="429"/>
      <c r="Y131" s="429"/>
      <c r="Z131" s="429"/>
      <c r="AA131" s="429"/>
      <c r="AB131" s="429"/>
      <c r="AC131" s="430">
        <f>SUM(E131:AB131)</f>
        <v>1</v>
      </c>
      <c r="AD131" s="430" t="s">
        <v>51</v>
      </c>
      <c r="AE131" s="424" t="s">
        <v>104</v>
      </c>
      <c r="AF131" s="304" t="s">
        <v>31</v>
      </c>
      <c r="AG131" s="427">
        <v>0.2</v>
      </c>
      <c r="AH131" s="427">
        <v>0.2</v>
      </c>
      <c r="AI131" s="427">
        <v>0.26</v>
      </c>
      <c r="AJ131" s="432">
        <f t="shared" si="7"/>
        <v>360525</v>
      </c>
    </row>
    <row r="132" spans="1:36" ht="26">
      <c r="A132" s="311">
        <v>18</v>
      </c>
      <c r="B132" s="347" t="s">
        <v>520</v>
      </c>
      <c r="C132" s="347"/>
      <c r="D132" s="347"/>
      <c r="E132" s="278"/>
      <c r="F132" s="279"/>
      <c r="G132" s="278"/>
      <c r="H132" s="278"/>
      <c r="I132" s="278"/>
      <c r="J132" s="278"/>
      <c r="K132" s="278"/>
      <c r="L132" s="278"/>
      <c r="M132" s="278"/>
      <c r="N132" s="301"/>
      <c r="O132" s="301"/>
      <c r="P132" s="301"/>
      <c r="Q132" s="301"/>
      <c r="R132" s="278"/>
      <c r="S132" s="278"/>
      <c r="T132" s="278"/>
      <c r="U132" s="278"/>
      <c r="V132" s="278"/>
      <c r="W132" s="278"/>
      <c r="X132" s="278"/>
      <c r="Y132" s="278"/>
      <c r="Z132" s="278"/>
      <c r="AA132" s="278"/>
      <c r="AB132" s="278"/>
      <c r="AC132" s="278">
        <f t="shared" ref="AC132:AC148" si="11">SUM(E132:AB132)</f>
        <v>0</v>
      </c>
      <c r="AD132" s="278"/>
      <c r="AE132" s="278"/>
      <c r="AF132" s="342"/>
      <c r="AG132" s="278"/>
      <c r="AH132" s="278"/>
      <c r="AI132" s="278"/>
      <c r="AJ132" s="351">
        <f t="shared" si="7"/>
        <v>0</v>
      </c>
    </row>
    <row r="133" spans="1:36" s="66" customFormat="1" ht="17.25" customHeight="1">
      <c r="A133" s="439">
        <v>18.100000000000001</v>
      </c>
      <c r="B133" s="365" t="s">
        <v>471</v>
      </c>
      <c r="C133" s="365"/>
      <c r="D133" s="365"/>
      <c r="E133" s="424"/>
      <c r="F133" s="425"/>
      <c r="G133" s="424"/>
      <c r="H133" s="424"/>
      <c r="I133" s="424"/>
      <c r="J133" s="424"/>
      <c r="K133" s="424"/>
      <c r="L133" s="424"/>
      <c r="M133" s="424"/>
      <c r="N133" s="426"/>
      <c r="O133" s="426"/>
      <c r="P133" s="426"/>
      <c r="Q133" s="426"/>
      <c r="R133" s="424"/>
      <c r="S133" s="424"/>
      <c r="T133" s="424"/>
      <c r="U133" s="424"/>
      <c r="V133" s="424"/>
      <c r="W133" s="424">
        <v>1</v>
      </c>
      <c r="X133" s="424"/>
      <c r="Y133" s="424"/>
      <c r="Z133" s="424"/>
      <c r="AA133" s="424"/>
      <c r="AB133" s="424"/>
      <c r="AC133" s="424">
        <f t="shared" si="11"/>
        <v>1</v>
      </c>
      <c r="AD133" s="424" t="s">
        <v>51</v>
      </c>
      <c r="AE133" s="424" t="s">
        <v>104</v>
      </c>
      <c r="AF133" s="304" t="s">
        <v>31</v>
      </c>
      <c r="AG133" s="427">
        <v>0.1</v>
      </c>
      <c r="AH133" s="427">
        <v>0.1</v>
      </c>
      <c r="AI133" s="427">
        <v>0.13</v>
      </c>
      <c r="AJ133" s="428">
        <f t="shared" si="7"/>
        <v>360525</v>
      </c>
    </row>
    <row r="134" spans="1:36" s="66" customFormat="1" ht="18" customHeight="1">
      <c r="A134" s="439">
        <v>18.2</v>
      </c>
      <c r="B134" s="564" t="s">
        <v>470</v>
      </c>
      <c r="C134" s="564"/>
      <c r="D134" s="564"/>
      <c r="E134" s="228"/>
      <c r="F134" s="577"/>
      <c r="G134" s="228"/>
      <c r="H134" s="228"/>
      <c r="I134" s="228"/>
      <c r="J134" s="228"/>
      <c r="K134" s="228"/>
      <c r="L134" s="228"/>
      <c r="M134" s="228"/>
      <c r="N134" s="578"/>
      <c r="O134" s="578"/>
      <c r="P134" s="578"/>
      <c r="Q134" s="578"/>
      <c r="R134" s="228"/>
      <c r="S134" s="228"/>
      <c r="T134" s="228"/>
      <c r="U134" s="228"/>
      <c r="V134" s="228"/>
      <c r="W134" s="228">
        <v>1</v>
      </c>
      <c r="X134" s="228"/>
      <c r="Y134" s="228"/>
      <c r="Z134" s="228"/>
      <c r="AA134" s="228"/>
      <c r="AB134" s="228"/>
      <c r="AC134" s="228">
        <f t="shared" si="11"/>
        <v>1</v>
      </c>
      <c r="AD134" s="228" t="s">
        <v>51</v>
      </c>
      <c r="AE134" s="228" t="s">
        <v>104</v>
      </c>
      <c r="AF134" s="568" t="s">
        <v>31</v>
      </c>
      <c r="AG134" s="575">
        <v>0.2</v>
      </c>
      <c r="AH134" s="575">
        <v>0.2</v>
      </c>
      <c r="AI134" s="575">
        <v>0.26</v>
      </c>
      <c r="AJ134" s="579">
        <f t="shared" si="7"/>
        <v>360525</v>
      </c>
    </row>
    <row r="135" spans="1:36" s="66" customFormat="1" ht="26">
      <c r="A135" s="311">
        <v>19</v>
      </c>
      <c r="B135" s="366" t="s">
        <v>497</v>
      </c>
      <c r="C135" s="366"/>
      <c r="D135" s="366"/>
      <c r="E135" s="226"/>
      <c r="F135" s="227"/>
      <c r="G135" s="226"/>
      <c r="H135" s="226"/>
      <c r="I135" s="226"/>
      <c r="J135" s="226"/>
      <c r="K135" s="226"/>
      <c r="L135" s="226"/>
      <c r="M135" s="226"/>
      <c r="N135" s="363"/>
      <c r="O135" s="363"/>
      <c r="P135" s="363"/>
      <c r="Q135" s="363"/>
      <c r="R135" s="226"/>
      <c r="S135" s="226"/>
      <c r="T135" s="226"/>
      <c r="U135" s="226"/>
      <c r="V135" s="226"/>
      <c r="W135" s="226">
        <v>1</v>
      </c>
      <c r="X135" s="226"/>
      <c r="Y135" s="226"/>
      <c r="Z135" s="226"/>
      <c r="AA135" s="226"/>
      <c r="AB135" s="226"/>
      <c r="AC135" s="226">
        <f t="shared" si="11"/>
        <v>1</v>
      </c>
      <c r="AD135" s="226" t="s">
        <v>51</v>
      </c>
      <c r="AE135" s="226" t="s">
        <v>104</v>
      </c>
      <c r="AF135" s="224" t="s">
        <v>31</v>
      </c>
      <c r="AG135" s="367">
        <v>0.03</v>
      </c>
      <c r="AH135" s="367">
        <v>0.03</v>
      </c>
      <c r="AI135" s="367">
        <v>0.03</v>
      </c>
      <c r="AJ135" s="364">
        <f t="shared" si="7"/>
        <v>360525</v>
      </c>
    </row>
    <row r="136" spans="1:36" s="66" customFormat="1">
      <c r="A136" s="311">
        <v>20</v>
      </c>
      <c r="B136" s="366" t="s">
        <v>173</v>
      </c>
      <c r="C136" s="366"/>
      <c r="D136" s="366"/>
      <c r="E136" s="226"/>
      <c r="F136" s="227"/>
      <c r="G136" s="226"/>
      <c r="H136" s="226"/>
      <c r="I136" s="226"/>
      <c r="J136" s="226"/>
      <c r="K136" s="226"/>
      <c r="L136" s="226"/>
      <c r="M136" s="226"/>
      <c r="N136" s="363"/>
      <c r="O136" s="363"/>
      <c r="P136" s="363"/>
      <c r="Q136" s="363"/>
      <c r="R136" s="226"/>
      <c r="S136" s="226"/>
      <c r="T136" s="226"/>
      <c r="U136" s="226"/>
      <c r="V136" s="226"/>
      <c r="W136" s="226">
        <v>1</v>
      </c>
      <c r="X136" s="226"/>
      <c r="Y136" s="226"/>
      <c r="Z136" s="226"/>
      <c r="AA136" s="226"/>
      <c r="AB136" s="226"/>
      <c r="AC136" s="226">
        <f t="shared" si="11"/>
        <v>1</v>
      </c>
      <c r="AD136" s="226" t="s">
        <v>51</v>
      </c>
      <c r="AE136" s="226" t="s">
        <v>104</v>
      </c>
      <c r="AF136" s="224" t="s">
        <v>31</v>
      </c>
      <c r="AG136" s="367">
        <v>0.2</v>
      </c>
      <c r="AH136" s="367">
        <v>0.2</v>
      </c>
      <c r="AI136" s="367">
        <v>0.2</v>
      </c>
      <c r="AJ136" s="364">
        <f t="shared" si="7"/>
        <v>360525</v>
      </c>
    </row>
    <row r="137" spans="1:36">
      <c r="A137" s="311">
        <v>21</v>
      </c>
      <c r="B137" s="366" t="s">
        <v>174</v>
      </c>
      <c r="C137" s="366"/>
      <c r="D137" s="366"/>
      <c r="E137" s="226"/>
      <c r="F137" s="227"/>
      <c r="G137" s="226"/>
      <c r="H137" s="226"/>
      <c r="I137" s="226"/>
      <c r="J137" s="226"/>
      <c r="K137" s="226"/>
      <c r="L137" s="226"/>
      <c r="M137" s="226"/>
      <c r="N137" s="363"/>
      <c r="O137" s="363"/>
      <c r="P137" s="363"/>
      <c r="Q137" s="363"/>
      <c r="R137" s="226"/>
      <c r="S137" s="226"/>
      <c r="T137" s="226"/>
      <c r="U137" s="226"/>
      <c r="V137" s="226"/>
      <c r="W137" s="226"/>
      <c r="X137" s="226"/>
      <c r="Y137" s="226"/>
      <c r="Z137" s="226"/>
      <c r="AA137" s="226"/>
      <c r="AB137" s="226"/>
      <c r="AC137" s="226">
        <f t="shared" si="11"/>
        <v>0</v>
      </c>
      <c r="AD137" s="226"/>
      <c r="AE137" s="226"/>
      <c r="AF137" s="226"/>
      <c r="AG137" s="226"/>
      <c r="AH137" s="226"/>
      <c r="AI137" s="226"/>
      <c r="AJ137" s="364">
        <f t="shared" si="7"/>
        <v>0</v>
      </c>
    </row>
    <row r="138" spans="1:36" s="66" customFormat="1">
      <c r="A138" s="439">
        <v>21.1</v>
      </c>
      <c r="B138" s="564" t="s">
        <v>529</v>
      </c>
      <c r="C138" s="564"/>
      <c r="D138" s="564"/>
      <c r="E138" s="228"/>
      <c r="F138" s="577"/>
      <c r="G138" s="228"/>
      <c r="H138" s="228"/>
      <c r="I138" s="228"/>
      <c r="J138" s="228"/>
      <c r="K138" s="228"/>
      <c r="L138" s="228"/>
      <c r="M138" s="228"/>
      <c r="N138" s="578"/>
      <c r="O138" s="578"/>
      <c r="P138" s="578"/>
      <c r="Q138" s="578"/>
      <c r="R138" s="228"/>
      <c r="S138" s="228"/>
      <c r="T138" s="228"/>
      <c r="U138" s="228"/>
      <c r="V138" s="228">
        <v>1</v>
      </c>
      <c r="W138" s="228"/>
      <c r="X138" s="228"/>
      <c r="Y138" s="228"/>
      <c r="Z138" s="228"/>
      <c r="AA138" s="228"/>
      <c r="AB138" s="228"/>
      <c r="AC138" s="228">
        <f t="shared" si="11"/>
        <v>1</v>
      </c>
      <c r="AD138" s="228" t="s">
        <v>51</v>
      </c>
      <c r="AE138" s="228" t="s">
        <v>67</v>
      </c>
      <c r="AF138" s="568" t="s">
        <v>31</v>
      </c>
      <c r="AG138" s="575">
        <v>0.1</v>
      </c>
      <c r="AH138" s="575">
        <v>0.1</v>
      </c>
      <c r="AI138" s="575">
        <v>0.1</v>
      </c>
      <c r="AJ138" s="579">
        <f t="shared" si="7"/>
        <v>320867.25</v>
      </c>
    </row>
    <row r="139" spans="1:36" s="66" customFormat="1">
      <c r="A139" s="439">
        <v>21.2</v>
      </c>
      <c r="B139" s="564" t="s">
        <v>177</v>
      </c>
      <c r="C139" s="564"/>
      <c r="D139" s="564"/>
      <c r="E139" s="228"/>
      <c r="F139" s="577"/>
      <c r="G139" s="228"/>
      <c r="H139" s="228"/>
      <c r="I139" s="228"/>
      <c r="J139" s="228"/>
      <c r="K139" s="228"/>
      <c r="L139" s="228"/>
      <c r="M139" s="228"/>
      <c r="N139" s="578"/>
      <c r="O139" s="578"/>
      <c r="P139" s="578"/>
      <c r="Q139" s="578"/>
      <c r="R139" s="228"/>
      <c r="S139" s="228"/>
      <c r="T139" s="228"/>
      <c r="U139" s="228"/>
      <c r="V139" s="228">
        <v>1</v>
      </c>
      <c r="W139" s="228"/>
      <c r="X139" s="228"/>
      <c r="Y139" s="228"/>
      <c r="Z139" s="228"/>
      <c r="AA139" s="228"/>
      <c r="AB139" s="228"/>
      <c r="AC139" s="228">
        <f t="shared" si="11"/>
        <v>1</v>
      </c>
      <c r="AD139" s="228" t="s">
        <v>51</v>
      </c>
      <c r="AE139" s="228" t="s">
        <v>67</v>
      </c>
      <c r="AF139" s="568" t="s">
        <v>31</v>
      </c>
      <c r="AG139" s="575">
        <v>0.15</v>
      </c>
      <c r="AH139" s="575">
        <v>0.15</v>
      </c>
      <c r="AI139" s="575">
        <v>0.2</v>
      </c>
      <c r="AJ139" s="579">
        <f t="shared" si="7"/>
        <v>320867.25</v>
      </c>
    </row>
    <row r="140" spans="1:36" s="66" customFormat="1" ht="26.25" customHeight="1">
      <c r="A140" s="311">
        <v>22</v>
      </c>
      <c r="B140" s="312" t="s">
        <v>521</v>
      </c>
      <c r="C140" s="312"/>
      <c r="D140" s="312"/>
      <c r="E140" s="226"/>
      <c r="F140" s="227"/>
      <c r="G140" s="226"/>
      <c r="H140" s="226"/>
      <c r="I140" s="226"/>
      <c r="J140" s="226"/>
      <c r="K140" s="226"/>
      <c r="L140" s="226"/>
      <c r="M140" s="226"/>
      <c r="N140" s="363"/>
      <c r="O140" s="363"/>
      <c r="P140" s="363"/>
      <c r="Q140" s="363"/>
      <c r="R140" s="226"/>
      <c r="S140" s="226"/>
      <c r="T140" s="226"/>
      <c r="U140" s="226"/>
      <c r="V140" s="226"/>
      <c r="W140" s="226">
        <v>1</v>
      </c>
      <c r="X140" s="226"/>
      <c r="Y140" s="226"/>
      <c r="Z140" s="226"/>
      <c r="AA140" s="226"/>
      <c r="AB140" s="226"/>
      <c r="AC140" s="226">
        <f>SUM(E140:AB140)</f>
        <v>1</v>
      </c>
      <c r="AD140" s="226" t="s">
        <v>51</v>
      </c>
      <c r="AE140" s="226" t="s">
        <v>104</v>
      </c>
      <c r="AF140" s="224" t="s">
        <v>31</v>
      </c>
      <c r="AG140" s="226">
        <v>0.05</v>
      </c>
      <c r="AH140" s="226">
        <v>0.05</v>
      </c>
      <c r="AI140" s="226">
        <v>0.05</v>
      </c>
      <c r="AJ140" s="364">
        <f>(E140*E$6+F140*F$6+G140*G$6+H140*H$6+I140*I$6+J140*J$6+K140*K$6+L140*L$6+M140*M$6+N140*N$6+O140*O$6+P140*P$6+Q140*Q$6+R140*R$6+S140*S$6+T140*T$6+U140*U$6+V140*V$6+W140*W$6+X140*X$6+Y140*Y$6+Z140*Z$6+AA140*AA$6+AB140*AB$6)</f>
        <v>360525</v>
      </c>
    </row>
    <row r="141" spans="1:36" ht="26">
      <c r="A141" s="422" t="s">
        <v>273</v>
      </c>
      <c r="B141" s="401" t="s">
        <v>522</v>
      </c>
      <c r="C141" s="401"/>
      <c r="D141" s="401"/>
      <c r="E141" s="278"/>
      <c r="F141" s="279"/>
      <c r="G141" s="278"/>
      <c r="H141" s="278"/>
      <c r="I141" s="278"/>
      <c r="J141" s="278"/>
      <c r="K141" s="278"/>
      <c r="L141" s="278"/>
      <c r="M141" s="278"/>
      <c r="N141" s="301"/>
      <c r="O141" s="301"/>
      <c r="P141" s="301"/>
      <c r="Q141" s="301"/>
      <c r="R141" s="278"/>
      <c r="S141" s="278"/>
      <c r="T141" s="278"/>
      <c r="U141" s="278"/>
      <c r="V141" s="278">
        <v>1</v>
      </c>
      <c r="W141" s="278"/>
      <c r="X141" s="278"/>
      <c r="Y141" s="278"/>
      <c r="Z141" s="278"/>
      <c r="AA141" s="278"/>
      <c r="AB141" s="278"/>
      <c r="AC141" s="278">
        <f t="shared" si="11"/>
        <v>1</v>
      </c>
      <c r="AD141" s="278" t="s">
        <v>51</v>
      </c>
      <c r="AE141" s="278" t="s">
        <v>104</v>
      </c>
      <c r="AF141" s="342" t="s">
        <v>31</v>
      </c>
      <c r="AG141" s="278">
        <v>0.1</v>
      </c>
      <c r="AH141" s="278">
        <v>0.1</v>
      </c>
      <c r="AI141" s="278">
        <v>0.1</v>
      </c>
      <c r="AJ141" s="351">
        <f t="shared" si="7"/>
        <v>320867.25</v>
      </c>
    </row>
    <row r="142" spans="1:36" ht="26">
      <c r="A142" s="342" t="s">
        <v>275</v>
      </c>
      <c r="B142" s="279" t="s">
        <v>530</v>
      </c>
      <c r="C142" s="279"/>
      <c r="D142" s="279"/>
      <c r="E142" s="278"/>
      <c r="F142" s="279"/>
      <c r="G142" s="278"/>
      <c r="H142" s="278"/>
      <c r="I142" s="278"/>
      <c r="J142" s="278"/>
      <c r="K142" s="278"/>
      <c r="L142" s="278"/>
      <c r="M142" s="278"/>
      <c r="N142" s="301"/>
      <c r="O142" s="301"/>
      <c r="P142" s="301"/>
      <c r="Q142" s="301"/>
      <c r="R142" s="278"/>
      <c r="S142" s="278"/>
      <c r="T142" s="278"/>
      <c r="U142" s="278"/>
      <c r="V142" s="278"/>
      <c r="W142" s="278"/>
      <c r="X142" s="278"/>
      <c r="Y142" s="278"/>
      <c r="Z142" s="278"/>
      <c r="AA142" s="278"/>
      <c r="AB142" s="278"/>
      <c r="AC142" s="278"/>
      <c r="AD142" s="278"/>
      <c r="AE142" s="278"/>
      <c r="AF142" s="342"/>
      <c r="AG142" s="278"/>
      <c r="AH142" s="278"/>
      <c r="AI142" s="278"/>
      <c r="AJ142" s="351"/>
    </row>
    <row r="143" spans="1:36">
      <c r="A143" s="342" t="s">
        <v>842</v>
      </c>
      <c r="B143" s="279" t="s">
        <v>185</v>
      </c>
      <c r="C143" s="279"/>
      <c r="D143" s="279"/>
      <c r="E143" s="278"/>
      <c r="F143" s="279"/>
      <c r="G143" s="278"/>
      <c r="H143" s="278"/>
      <c r="I143" s="278"/>
      <c r="J143" s="278"/>
      <c r="K143" s="278"/>
      <c r="L143" s="278"/>
      <c r="M143" s="278"/>
      <c r="N143" s="301"/>
      <c r="O143" s="301"/>
      <c r="P143" s="301"/>
      <c r="Q143" s="301"/>
      <c r="R143" s="278"/>
      <c r="S143" s="278"/>
      <c r="T143" s="278"/>
      <c r="U143" s="278">
        <v>1</v>
      </c>
      <c r="V143" s="278"/>
      <c r="W143" s="278"/>
      <c r="X143" s="278"/>
      <c r="Y143" s="278"/>
      <c r="Z143" s="278"/>
      <c r="AA143" s="278"/>
      <c r="AB143" s="278"/>
      <c r="AC143" s="278">
        <f t="shared" si="11"/>
        <v>1</v>
      </c>
      <c r="AD143" s="278" t="s">
        <v>444</v>
      </c>
      <c r="AE143" s="278" t="s">
        <v>66</v>
      </c>
      <c r="AF143" s="342" t="s">
        <v>31</v>
      </c>
      <c r="AG143" s="278">
        <v>1.6E-2</v>
      </c>
      <c r="AH143" s="278">
        <v>1.6E-2</v>
      </c>
      <c r="AI143" s="278">
        <v>0.02</v>
      </c>
      <c r="AJ143" s="351">
        <f t="shared" si="7"/>
        <v>281209.5</v>
      </c>
    </row>
    <row r="144" spans="1:36">
      <c r="A144" s="342" t="s">
        <v>851</v>
      </c>
      <c r="B144" s="279" t="s">
        <v>186</v>
      </c>
      <c r="C144" s="279"/>
      <c r="D144" s="279"/>
      <c r="E144" s="278"/>
      <c r="F144" s="279"/>
      <c r="G144" s="278"/>
      <c r="H144" s="278"/>
      <c r="I144" s="278"/>
      <c r="J144" s="278"/>
      <c r="K144" s="278"/>
      <c r="L144" s="278"/>
      <c r="M144" s="278"/>
      <c r="N144" s="301"/>
      <c r="O144" s="301"/>
      <c r="P144" s="301"/>
      <c r="Q144" s="301"/>
      <c r="R144" s="278"/>
      <c r="S144" s="278"/>
      <c r="T144" s="278"/>
      <c r="U144" s="278">
        <v>1</v>
      </c>
      <c r="V144" s="278"/>
      <c r="W144" s="278"/>
      <c r="X144" s="278"/>
      <c r="Y144" s="278"/>
      <c r="Z144" s="278"/>
      <c r="AA144" s="278"/>
      <c r="AB144" s="278"/>
      <c r="AC144" s="278">
        <f t="shared" si="11"/>
        <v>1</v>
      </c>
      <c r="AD144" s="278" t="s">
        <v>444</v>
      </c>
      <c r="AE144" s="278" t="s">
        <v>66</v>
      </c>
      <c r="AF144" s="342" t="s">
        <v>31</v>
      </c>
      <c r="AG144" s="278">
        <v>8.0000000000000002E-3</v>
      </c>
      <c r="AH144" s="278">
        <v>8.0000000000000002E-3</v>
      </c>
      <c r="AI144" s="278">
        <v>0.01</v>
      </c>
      <c r="AJ144" s="351">
        <f t="shared" si="7"/>
        <v>281209.5</v>
      </c>
    </row>
    <row r="145" spans="1:36" ht="39">
      <c r="A145" s="342" t="s">
        <v>277</v>
      </c>
      <c r="B145" s="347" t="s">
        <v>187</v>
      </c>
      <c r="C145" s="347"/>
      <c r="D145" s="347"/>
      <c r="E145" s="278"/>
      <c r="F145" s="279"/>
      <c r="G145" s="278"/>
      <c r="H145" s="278"/>
      <c r="I145" s="278"/>
      <c r="J145" s="278"/>
      <c r="K145" s="278"/>
      <c r="L145" s="278"/>
      <c r="M145" s="278"/>
      <c r="N145" s="301"/>
      <c r="O145" s="301"/>
      <c r="P145" s="301"/>
      <c r="Q145" s="301"/>
      <c r="R145" s="278"/>
      <c r="S145" s="278"/>
      <c r="T145" s="278"/>
      <c r="U145" s="278">
        <v>1</v>
      </c>
      <c r="V145" s="278"/>
      <c r="W145" s="278"/>
      <c r="X145" s="278"/>
      <c r="Y145" s="278"/>
      <c r="Z145" s="278"/>
      <c r="AA145" s="278"/>
      <c r="AB145" s="278"/>
      <c r="AC145" s="278">
        <f t="shared" si="11"/>
        <v>1</v>
      </c>
      <c r="AD145" s="278" t="s">
        <v>444</v>
      </c>
      <c r="AE145" s="278" t="s">
        <v>66</v>
      </c>
      <c r="AF145" s="342" t="s">
        <v>31</v>
      </c>
      <c r="AG145" s="278">
        <v>4.0000000000000001E-3</v>
      </c>
      <c r="AH145" s="278">
        <v>4.0000000000000001E-3</v>
      </c>
      <c r="AI145" s="278">
        <v>5.0000000000000001E-3</v>
      </c>
      <c r="AJ145" s="351">
        <f t="shared" si="7"/>
        <v>281209.5</v>
      </c>
    </row>
    <row r="146" spans="1:36" ht="26">
      <c r="A146" s="350" t="s">
        <v>279</v>
      </c>
      <c r="B146" s="347" t="s">
        <v>188</v>
      </c>
      <c r="C146" s="347"/>
      <c r="D146" s="347"/>
      <c r="E146" s="278"/>
      <c r="F146" s="279"/>
      <c r="G146" s="278"/>
      <c r="H146" s="278"/>
      <c r="I146" s="278"/>
      <c r="J146" s="278"/>
      <c r="K146" s="278"/>
      <c r="L146" s="278"/>
      <c r="M146" s="278"/>
      <c r="N146" s="301"/>
      <c r="O146" s="301"/>
      <c r="P146" s="301"/>
      <c r="Q146" s="301"/>
      <c r="R146" s="278"/>
      <c r="S146" s="278"/>
      <c r="T146" s="278"/>
      <c r="U146" s="278">
        <v>1</v>
      </c>
      <c r="V146" s="278"/>
      <c r="W146" s="278"/>
      <c r="X146" s="278"/>
      <c r="Y146" s="278"/>
      <c r="Z146" s="278"/>
      <c r="AA146" s="278"/>
      <c r="AB146" s="278"/>
      <c r="AC146" s="278">
        <f t="shared" si="11"/>
        <v>1</v>
      </c>
      <c r="AD146" s="278" t="s">
        <v>1</v>
      </c>
      <c r="AE146" s="278" t="s">
        <v>66</v>
      </c>
      <c r="AF146" s="342" t="s">
        <v>31</v>
      </c>
      <c r="AG146" s="278">
        <v>0.01</v>
      </c>
      <c r="AH146" s="278">
        <v>0.01</v>
      </c>
      <c r="AI146" s="278">
        <v>1.2999999999999999E-2</v>
      </c>
      <c r="AJ146" s="351">
        <f t="shared" si="7"/>
        <v>281209.5</v>
      </c>
    </row>
    <row r="147" spans="1:36" ht="52">
      <c r="A147" s="350" t="s">
        <v>281</v>
      </c>
      <c r="B147" s="347" t="s">
        <v>523</v>
      </c>
      <c r="C147" s="347"/>
      <c r="D147" s="347"/>
      <c r="E147" s="278"/>
      <c r="F147" s="279"/>
      <c r="G147" s="278"/>
      <c r="H147" s="278"/>
      <c r="I147" s="278"/>
      <c r="J147" s="278"/>
      <c r="K147" s="278"/>
      <c r="L147" s="278"/>
      <c r="M147" s="278"/>
      <c r="N147" s="301"/>
      <c r="O147" s="301"/>
      <c r="P147" s="301"/>
      <c r="Q147" s="301"/>
      <c r="R147" s="278"/>
      <c r="S147" s="278"/>
      <c r="T147" s="278"/>
      <c r="U147" s="278"/>
      <c r="V147" s="278">
        <v>1</v>
      </c>
      <c r="W147" s="278"/>
      <c r="X147" s="278"/>
      <c r="Y147" s="278"/>
      <c r="Z147" s="278"/>
      <c r="AA147" s="278"/>
      <c r="AB147" s="278"/>
      <c r="AC147" s="278">
        <f t="shared" si="11"/>
        <v>1</v>
      </c>
      <c r="AD147" s="278" t="s">
        <v>51</v>
      </c>
      <c r="AE147" s="278" t="s">
        <v>67</v>
      </c>
      <c r="AF147" s="342" t="s">
        <v>31</v>
      </c>
      <c r="AG147" s="278">
        <v>0.2</v>
      </c>
      <c r="AH147" s="278">
        <v>0.2</v>
      </c>
      <c r="AI147" s="278">
        <v>0.2</v>
      </c>
      <c r="AJ147" s="351">
        <f>(E147*E$6+F147*F$6+G147*G$6+H147*H$6+I147*I$6+J147*J$6+K147*K$6+L147*L$6+M147*M$6+N147*N$6+O147*O$6+P147*P$6+Q147*Q$6+R147*R$6+S147*S$6+T147*T$6+U147*U$6+V147*V$6+W147*W$6+X147*X$6+Y147*Y$6+Z147*Z$6+AA147*AA$6+AB147*AB$6)</f>
        <v>320867.25</v>
      </c>
    </row>
    <row r="148" spans="1:36" ht="39">
      <c r="A148" s="350" t="s">
        <v>283</v>
      </c>
      <c r="B148" s="347" t="s">
        <v>524</v>
      </c>
      <c r="C148" s="347"/>
      <c r="D148" s="347"/>
      <c r="E148" s="278"/>
      <c r="F148" s="279"/>
      <c r="G148" s="278"/>
      <c r="H148" s="278"/>
      <c r="I148" s="278"/>
      <c r="J148" s="278"/>
      <c r="K148" s="278"/>
      <c r="L148" s="278"/>
      <c r="M148" s="278"/>
      <c r="N148" s="301"/>
      <c r="O148" s="301"/>
      <c r="P148" s="301"/>
      <c r="Q148" s="301"/>
      <c r="R148" s="278"/>
      <c r="S148" s="278"/>
      <c r="T148" s="278"/>
      <c r="U148" s="278"/>
      <c r="V148" s="278">
        <v>1</v>
      </c>
      <c r="W148" s="278"/>
      <c r="X148" s="278"/>
      <c r="Y148" s="278"/>
      <c r="Z148" s="278"/>
      <c r="AA148" s="278"/>
      <c r="AB148" s="278"/>
      <c r="AC148" s="278">
        <f t="shared" si="11"/>
        <v>1</v>
      </c>
      <c r="AD148" s="278" t="s">
        <v>51</v>
      </c>
      <c r="AE148" s="278" t="s">
        <v>67</v>
      </c>
      <c r="AF148" s="342" t="s">
        <v>31</v>
      </c>
      <c r="AG148" s="278">
        <v>0.2</v>
      </c>
      <c r="AH148" s="278">
        <v>0.2</v>
      </c>
      <c r="AI148" s="278">
        <v>0.26</v>
      </c>
      <c r="AJ148" s="351">
        <f>(E148*E$6+F148*F$6+G148*G$6+H148*H$6+I148*I$6+J148*J$6+K148*K$6+L148*L$6+M148*M$6+N148*N$6+O148*O$6+P148*P$6+Q148*Q$6+R148*R$6+S148*S$6+T148*T$6+U148*U$6+V148*V$6+W148*W$6+X148*X$6+Y148*Y$6+Z148*Z$6+AA148*AA$6+AB148*AB$6)</f>
        <v>320867.25</v>
      </c>
    </row>
    <row r="149" spans="1:36" s="51" customFormat="1" ht="26.5" customHeight="1">
      <c r="A149" s="361" t="s">
        <v>531</v>
      </c>
      <c r="B149" s="879" t="s">
        <v>191</v>
      </c>
      <c r="C149" s="879"/>
      <c r="D149" s="879"/>
      <c r="E149" s="879"/>
      <c r="F149" s="879"/>
      <c r="G149" s="879"/>
      <c r="H149" s="879"/>
      <c r="I149" s="879"/>
      <c r="J149" s="879"/>
      <c r="K149" s="879"/>
      <c r="L149" s="879"/>
      <c r="M149" s="879"/>
      <c r="N149" s="879"/>
      <c r="O149" s="879"/>
      <c r="P149" s="879"/>
      <c r="Q149" s="879"/>
      <c r="R149" s="879"/>
      <c r="S149" s="879"/>
      <c r="T149" s="879"/>
      <c r="U149" s="879"/>
      <c r="V149" s="879"/>
      <c r="W149" s="879"/>
      <c r="X149" s="879"/>
      <c r="Y149" s="879"/>
      <c r="Z149" s="879"/>
      <c r="AA149" s="879"/>
      <c r="AB149" s="879"/>
      <c r="AC149" s="879"/>
      <c r="AD149" s="879"/>
      <c r="AE149" s="879"/>
      <c r="AF149" s="879"/>
      <c r="AG149" s="879"/>
      <c r="AH149" s="128"/>
      <c r="AI149" s="128"/>
      <c r="AJ149" s="128"/>
    </row>
    <row r="150" spans="1:36" ht="39">
      <c r="A150" s="224" t="s">
        <v>32</v>
      </c>
      <c r="B150" s="227" t="s">
        <v>208</v>
      </c>
      <c r="C150" s="227"/>
      <c r="D150" s="227"/>
      <c r="E150" s="226"/>
      <c r="F150" s="227"/>
      <c r="G150" s="226"/>
      <c r="H150" s="226"/>
      <c r="I150" s="226"/>
      <c r="J150" s="226"/>
      <c r="K150" s="226"/>
      <c r="L150" s="226"/>
      <c r="M150" s="226"/>
      <c r="N150" s="363"/>
      <c r="O150" s="363"/>
      <c r="P150" s="363"/>
      <c r="Q150" s="363"/>
      <c r="R150" s="226"/>
      <c r="S150" s="226"/>
      <c r="T150" s="226"/>
      <c r="U150" s="226"/>
      <c r="V150" s="226"/>
      <c r="W150" s="226">
        <v>1</v>
      </c>
      <c r="X150" s="226"/>
      <c r="Y150" s="226"/>
      <c r="Z150" s="226"/>
      <c r="AA150" s="226"/>
      <c r="AB150" s="226"/>
      <c r="AC150" s="226">
        <f>SUM(E150:AB150)</f>
        <v>1</v>
      </c>
      <c r="AD150" s="226" t="s">
        <v>51</v>
      </c>
      <c r="AE150" s="226" t="s">
        <v>104</v>
      </c>
      <c r="AF150" s="342" t="s">
        <v>31</v>
      </c>
      <c r="AG150" s="226">
        <v>0.2</v>
      </c>
      <c r="AH150" s="226">
        <v>0.2</v>
      </c>
      <c r="AI150" s="226">
        <v>0.26</v>
      </c>
      <c r="AJ150" s="364">
        <f>(E150*E$6+F150*F$6+G150*G$6+H150*H$6+I150*I$6+J150*J$6+K150*K$6+L150*L$6+M150*M$6+N150*N$6+O150*O$6+P150*P$6+Q150*Q$6+R150*R$6+S150*S$6+T150*T$6+U150*U$6+V150*V$6+W150*W$6+X150*X$6+Y150*Y$6+Z150*Z$6+AA150*AA$6+AB150*AB$6)</f>
        <v>360525</v>
      </c>
    </row>
    <row r="151" spans="1:36">
      <c r="A151" s="65" t="s">
        <v>571</v>
      </c>
      <c r="B151" s="180" t="s">
        <v>246</v>
      </c>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c r="AA151" s="180"/>
      <c r="AB151" s="180"/>
      <c r="AC151" s="180"/>
      <c r="AD151" s="180"/>
      <c r="AE151" s="180"/>
      <c r="AF151" s="180"/>
      <c r="AG151" s="180"/>
      <c r="AH151" s="292"/>
      <c r="AI151" s="292"/>
      <c r="AJ151" s="181"/>
    </row>
    <row r="152" spans="1:36" ht="33.65" customHeight="1">
      <c r="A152" s="47" t="s">
        <v>32</v>
      </c>
      <c r="B152" s="907" t="s">
        <v>855</v>
      </c>
      <c r="C152" s="908"/>
      <c r="D152" s="908"/>
      <c r="E152" s="908"/>
      <c r="F152" s="908"/>
      <c r="G152" s="908"/>
      <c r="H152" s="908"/>
      <c r="I152" s="908"/>
      <c r="J152" s="908"/>
      <c r="K152" s="908"/>
      <c r="L152" s="908"/>
      <c r="M152" s="908"/>
      <c r="N152" s="908"/>
      <c r="O152" s="908"/>
      <c r="P152" s="908"/>
      <c r="Q152" s="908"/>
      <c r="R152" s="908"/>
      <c r="S152" s="908"/>
      <c r="T152" s="908"/>
      <c r="U152" s="908"/>
      <c r="V152" s="908"/>
      <c r="W152" s="908"/>
      <c r="X152" s="908"/>
      <c r="Y152" s="908"/>
      <c r="Z152" s="908"/>
      <c r="AA152" s="908"/>
      <c r="AB152" s="908"/>
      <c r="AC152" s="908"/>
      <c r="AD152" s="908"/>
      <c r="AE152" s="908"/>
      <c r="AF152" s="909"/>
      <c r="AG152" s="44"/>
      <c r="AH152" s="58"/>
      <c r="AI152" s="58"/>
      <c r="AJ152" s="67"/>
    </row>
    <row r="153" spans="1:36" ht="40.5" customHeight="1">
      <c r="A153" s="47" t="s">
        <v>33</v>
      </c>
      <c r="B153" s="907" t="s">
        <v>852</v>
      </c>
      <c r="C153" s="908"/>
      <c r="D153" s="908"/>
      <c r="E153" s="908"/>
      <c r="F153" s="908"/>
      <c r="G153" s="908"/>
      <c r="H153" s="908"/>
      <c r="I153" s="908"/>
      <c r="J153" s="908"/>
      <c r="K153" s="908"/>
      <c r="L153" s="908"/>
      <c r="M153" s="908"/>
      <c r="N153" s="908"/>
      <c r="O153" s="908"/>
      <c r="P153" s="908"/>
      <c r="Q153" s="908"/>
      <c r="R153" s="908"/>
      <c r="S153" s="908"/>
      <c r="T153" s="908"/>
      <c r="U153" s="908"/>
      <c r="V153" s="908"/>
      <c r="W153" s="908"/>
      <c r="X153" s="908"/>
      <c r="Y153" s="908"/>
      <c r="Z153" s="908"/>
      <c r="AA153" s="908"/>
      <c r="AB153" s="908"/>
      <c r="AC153" s="908"/>
      <c r="AD153" s="908"/>
      <c r="AE153" s="908"/>
      <c r="AF153" s="909"/>
      <c r="AG153" s="45" t="s">
        <v>454</v>
      </c>
      <c r="AH153" s="45" t="s">
        <v>454</v>
      </c>
      <c r="AI153" s="45" t="s">
        <v>312</v>
      </c>
      <c r="AJ153" s="67"/>
    </row>
    <row r="154" spans="1:36" ht="27" customHeight="1">
      <c r="A154" s="47" t="s">
        <v>34</v>
      </c>
      <c r="B154" s="907" t="s">
        <v>853</v>
      </c>
      <c r="C154" s="908"/>
      <c r="D154" s="908"/>
      <c r="E154" s="908"/>
      <c r="F154" s="908"/>
      <c r="G154" s="908"/>
      <c r="H154" s="908"/>
      <c r="I154" s="908"/>
      <c r="J154" s="908"/>
      <c r="K154" s="908"/>
      <c r="L154" s="908"/>
      <c r="M154" s="908"/>
      <c r="N154" s="908"/>
      <c r="O154" s="908"/>
      <c r="P154" s="908"/>
      <c r="Q154" s="908"/>
      <c r="R154" s="908"/>
      <c r="S154" s="908"/>
      <c r="T154" s="908"/>
      <c r="U154" s="908"/>
      <c r="V154" s="908"/>
      <c r="W154" s="908"/>
      <c r="X154" s="908"/>
      <c r="Y154" s="908"/>
      <c r="Z154" s="908"/>
      <c r="AA154" s="908"/>
      <c r="AB154" s="908"/>
      <c r="AC154" s="908"/>
      <c r="AD154" s="908"/>
      <c r="AE154" s="908"/>
      <c r="AF154" s="909"/>
      <c r="AG154" s="44"/>
      <c r="AH154" s="58"/>
      <c r="AI154" s="58"/>
      <c r="AJ154" s="67"/>
    </row>
    <row r="155" spans="1:36" ht="27" customHeight="1">
      <c r="A155" s="47" t="s">
        <v>154</v>
      </c>
      <c r="B155" s="907" t="s">
        <v>854</v>
      </c>
      <c r="C155" s="908"/>
      <c r="D155" s="908"/>
      <c r="E155" s="908"/>
      <c r="F155" s="908"/>
      <c r="G155" s="908"/>
      <c r="H155" s="908"/>
      <c r="I155" s="908"/>
      <c r="J155" s="908"/>
      <c r="K155" s="908"/>
      <c r="L155" s="908"/>
      <c r="M155" s="908"/>
      <c r="N155" s="908"/>
      <c r="O155" s="908"/>
      <c r="P155" s="908"/>
      <c r="Q155" s="908"/>
      <c r="R155" s="908"/>
      <c r="S155" s="908"/>
      <c r="T155" s="908"/>
      <c r="U155" s="908"/>
      <c r="V155" s="908"/>
      <c r="W155" s="908"/>
      <c r="X155" s="908"/>
      <c r="Y155" s="908"/>
      <c r="Z155" s="908"/>
      <c r="AA155" s="908"/>
      <c r="AB155" s="908"/>
      <c r="AC155" s="908"/>
      <c r="AD155" s="908"/>
      <c r="AE155" s="908"/>
      <c r="AF155" s="909"/>
      <c r="AG155" s="45"/>
      <c r="AH155" s="72"/>
      <c r="AI155" s="72"/>
      <c r="AJ155" s="67"/>
    </row>
    <row r="156" spans="1:36" s="38" customFormat="1" ht="24" customHeight="1">
      <c r="A156" s="601" t="s">
        <v>108</v>
      </c>
      <c r="B156" s="912" t="s">
        <v>754</v>
      </c>
      <c r="C156" s="912"/>
      <c r="D156" s="912"/>
      <c r="E156" s="912"/>
      <c r="F156" s="912"/>
      <c r="G156" s="912"/>
      <c r="H156" s="912"/>
      <c r="I156" s="912"/>
      <c r="J156" s="912"/>
      <c r="K156" s="912"/>
      <c r="L156" s="912"/>
      <c r="M156" s="912"/>
      <c r="N156" s="912"/>
      <c r="O156" s="912"/>
      <c r="P156" s="912"/>
      <c r="Q156" s="912"/>
      <c r="R156" s="912"/>
      <c r="S156" s="912"/>
      <c r="T156" s="912"/>
      <c r="U156" s="912"/>
      <c r="V156" s="912"/>
      <c r="W156" s="912"/>
      <c r="X156" s="912"/>
      <c r="Y156" s="912"/>
      <c r="Z156" s="912"/>
      <c r="AA156" s="912"/>
      <c r="AB156" s="912"/>
      <c r="AC156" s="912"/>
      <c r="AD156" s="912"/>
      <c r="AE156" s="912"/>
      <c r="AF156" s="912"/>
      <c r="AG156" s="599" t="s">
        <v>209</v>
      </c>
      <c r="AH156" s="599" t="s">
        <v>210</v>
      </c>
      <c r="AI156" s="599" t="s">
        <v>445</v>
      </c>
      <c r="AJ156" s="818" t="s">
        <v>302</v>
      </c>
    </row>
    <row r="157" spans="1:36" s="38" customFormat="1" ht="18" customHeight="1">
      <c r="A157" s="601" t="s">
        <v>124</v>
      </c>
      <c r="B157" s="890" t="s">
        <v>856</v>
      </c>
      <c r="C157" s="890"/>
      <c r="D157" s="890"/>
      <c r="E157" s="890"/>
      <c r="F157" s="890"/>
      <c r="G157" s="890"/>
      <c r="H157" s="890"/>
      <c r="I157" s="890"/>
      <c r="J157" s="890"/>
      <c r="K157" s="890"/>
      <c r="L157" s="890"/>
      <c r="M157" s="890"/>
      <c r="N157" s="890"/>
      <c r="O157" s="890"/>
      <c r="P157" s="890"/>
      <c r="Q157" s="890"/>
      <c r="R157" s="890"/>
      <c r="S157" s="890"/>
      <c r="T157" s="890"/>
      <c r="U157" s="890"/>
      <c r="V157" s="890"/>
      <c r="W157" s="890"/>
      <c r="X157" s="890"/>
      <c r="Y157" s="177"/>
      <c r="Z157" s="177"/>
      <c r="AA157" s="177"/>
      <c r="AB157" s="177"/>
      <c r="AC157" s="177"/>
      <c r="AD157" s="177"/>
      <c r="AE157" s="177"/>
      <c r="AF157" s="177"/>
      <c r="AG157" s="177"/>
      <c r="AH157" s="177"/>
      <c r="AI157" s="177"/>
      <c r="AJ157" s="172"/>
    </row>
    <row r="158" spans="1:36" s="231" customFormat="1" ht="14">
      <c r="A158" s="350" t="s">
        <v>32</v>
      </c>
      <c r="B158" s="347" t="s">
        <v>147</v>
      </c>
      <c r="C158" s="347"/>
      <c r="D158" s="347"/>
      <c r="E158" s="346"/>
      <c r="F158" s="347"/>
      <c r="G158" s="346"/>
      <c r="H158" s="346"/>
      <c r="I158" s="346"/>
      <c r="J158" s="346"/>
      <c r="K158" s="346"/>
      <c r="L158" s="346"/>
      <c r="M158" s="346"/>
      <c r="N158" s="357"/>
      <c r="O158" s="357"/>
      <c r="P158" s="357"/>
      <c r="Q158" s="357"/>
      <c r="R158" s="346"/>
      <c r="S158" s="346"/>
      <c r="T158" s="346"/>
      <c r="U158" s="346"/>
      <c r="V158" s="346"/>
      <c r="W158" s="346"/>
      <c r="X158" s="346"/>
      <c r="Y158" s="346"/>
      <c r="Z158" s="346"/>
      <c r="AA158" s="346"/>
      <c r="AB158" s="346"/>
      <c r="AC158" s="346">
        <f t="shared" ref="AC158:AC174" si="12">SUM(E158:AB158)</f>
        <v>0</v>
      </c>
      <c r="AD158" s="346"/>
      <c r="AE158" s="346"/>
      <c r="AF158" s="350"/>
      <c r="AG158" s="441"/>
      <c r="AH158" s="441"/>
      <c r="AI158" s="441"/>
      <c r="AJ158" s="358">
        <f>(E158*E$6+F158*F$6+G158*G$6+H158*H$6+I158*I$6+J158*J$6+K158*K$6+L158*L$6+M158*M$6+N158*N$6+O158*O$6+P158*P$6+Q158*Q$6+R158*R$6+S158*S$6+T158*T$6+U158*U$6+V158*V$6+W158*W$6+X158*X$6+Y158*Y$6+Z158*Z$6+AA158*AA$6+AB158*AB$6)</f>
        <v>0</v>
      </c>
    </row>
    <row r="159" spans="1:36" s="410" customFormat="1" ht="14">
      <c r="A159" s="400" t="s">
        <v>132</v>
      </c>
      <c r="B159" s="365" t="s">
        <v>149</v>
      </c>
      <c r="C159" s="365"/>
      <c r="D159" s="365"/>
      <c r="E159" s="346"/>
      <c r="F159" s="347"/>
      <c r="G159" s="346"/>
      <c r="H159" s="346"/>
      <c r="I159" s="346"/>
      <c r="J159" s="346"/>
      <c r="K159" s="346"/>
      <c r="L159" s="346"/>
      <c r="M159" s="346"/>
      <c r="N159" s="357"/>
      <c r="O159" s="357"/>
      <c r="P159" s="357"/>
      <c r="Q159" s="357"/>
      <c r="R159" s="346"/>
      <c r="S159" s="346"/>
      <c r="T159" s="346"/>
      <c r="U159" s="346"/>
      <c r="V159" s="346">
        <v>1</v>
      </c>
      <c r="W159" s="346"/>
      <c r="X159" s="346"/>
      <c r="Y159" s="346"/>
      <c r="Z159" s="346"/>
      <c r="AA159" s="346"/>
      <c r="AB159" s="346"/>
      <c r="AC159" s="346">
        <f t="shared" si="12"/>
        <v>1</v>
      </c>
      <c r="AD159" s="346" t="s">
        <v>51</v>
      </c>
      <c r="AE159" s="346" t="s">
        <v>67</v>
      </c>
      <c r="AF159" s="350" t="s">
        <v>31</v>
      </c>
      <c r="AG159" s="346">
        <v>0.2</v>
      </c>
      <c r="AH159" s="346">
        <v>0.2</v>
      </c>
      <c r="AI159" s="346">
        <v>0.26</v>
      </c>
      <c r="AJ159" s="358">
        <f t="shared" ref="AJ159:AJ174" si="13">(E159*E$6+F159*F$6+G159*G$6+H159*H$6+I159*I$6+J159*J$6+K159*K$6+L159*L$6+M159*M$6+N159*N$6+O159*O$6+P159*P$6+Q159*Q$6+R159*R$6+S159*S$6+T159*T$6+U159*U$6+V159*V$6+W159*W$6+X159*X$6+Y159*Y$6+Z159*Z$6+AA159*AA$6+AB159*AB$6)</f>
        <v>320867.25</v>
      </c>
    </row>
    <row r="160" spans="1:36" s="410" customFormat="1" ht="14">
      <c r="A160" s="563" t="s">
        <v>133</v>
      </c>
      <c r="B160" s="564" t="s">
        <v>151</v>
      </c>
      <c r="C160" s="564"/>
      <c r="D160" s="564"/>
      <c r="E160" s="311"/>
      <c r="F160" s="366"/>
      <c r="G160" s="311"/>
      <c r="H160" s="311"/>
      <c r="I160" s="311"/>
      <c r="J160" s="311"/>
      <c r="K160" s="311"/>
      <c r="L160" s="311"/>
      <c r="M160" s="311"/>
      <c r="N160" s="367"/>
      <c r="O160" s="367"/>
      <c r="P160" s="367"/>
      <c r="Q160" s="367"/>
      <c r="R160" s="311"/>
      <c r="S160" s="311"/>
      <c r="T160" s="311"/>
      <c r="U160" s="311"/>
      <c r="V160" s="311">
        <v>1</v>
      </c>
      <c r="W160" s="311"/>
      <c r="X160" s="311"/>
      <c r="Y160" s="311"/>
      <c r="Z160" s="311"/>
      <c r="AA160" s="311"/>
      <c r="AB160" s="311"/>
      <c r="AC160" s="311">
        <f t="shared" si="12"/>
        <v>1</v>
      </c>
      <c r="AD160" s="311" t="s">
        <v>51</v>
      </c>
      <c r="AE160" s="311" t="s">
        <v>67</v>
      </c>
      <c r="AF160" s="569" t="s">
        <v>31</v>
      </c>
      <c r="AG160" s="311">
        <v>0.15</v>
      </c>
      <c r="AH160" s="311">
        <v>0.15</v>
      </c>
      <c r="AI160" s="311">
        <v>0.19</v>
      </c>
      <c r="AJ160" s="374">
        <f t="shared" si="13"/>
        <v>320867.25</v>
      </c>
    </row>
    <row r="161" spans="1:36" s="231" customFormat="1" ht="52">
      <c r="A161" s="350" t="s">
        <v>33</v>
      </c>
      <c r="B161" s="347" t="s">
        <v>573</v>
      </c>
      <c r="C161" s="347"/>
      <c r="D161" s="347"/>
      <c r="E161" s="346"/>
      <c r="F161" s="347"/>
      <c r="G161" s="346"/>
      <c r="H161" s="346"/>
      <c r="I161" s="346"/>
      <c r="J161" s="346"/>
      <c r="K161" s="346"/>
      <c r="L161" s="346"/>
      <c r="M161" s="346"/>
      <c r="N161" s="357"/>
      <c r="O161" s="357"/>
      <c r="P161" s="357"/>
      <c r="Q161" s="357"/>
      <c r="R161" s="346"/>
      <c r="S161" s="346"/>
      <c r="T161" s="346"/>
      <c r="U161" s="346"/>
      <c r="V161" s="346">
        <v>1</v>
      </c>
      <c r="W161" s="346"/>
      <c r="X161" s="346"/>
      <c r="Y161" s="346"/>
      <c r="Z161" s="346"/>
      <c r="AA161" s="346"/>
      <c r="AB161" s="346"/>
      <c r="AC161" s="346">
        <f t="shared" si="12"/>
        <v>1</v>
      </c>
      <c r="AD161" s="346" t="s">
        <v>51</v>
      </c>
      <c r="AE161" s="346" t="s">
        <v>67</v>
      </c>
      <c r="AF161" s="350" t="s">
        <v>31</v>
      </c>
      <c r="AG161" s="346">
        <v>0.5</v>
      </c>
      <c r="AH161" s="346">
        <v>0.5</v>
      </c>
      <c r="AI161" s="346">
        <v>0.65</v>
      </c>
      <c r="AJ161" s="358">
        <f t="shared" si="13"/>
        <v>320867.25</v>
      </c>
    </row>
    <row r="162" spans="1:36" s="231" customFormat="1" ht="26">
      <c r="A162" s="350" t="s">
        <v>34</v>
      </c>
      <c r="B162" s="347" t="s">
        <v>212</v>
      </c>
      <c r="C162" s="347"/>
      <c r="D162" s="347"/>
      <c r="E162" s="346"/>
      <c r="F162" s="347"/>
      <c r="G162" s="346"/>
      <c r="H162" s="346"/>
      <c r="I162" s="346"/>
      <c r="J162" s="346"/>
      <c r="K162" s="346"/>
      <c r="L162" s="346"/>
      <c r="M162" s="346"/>
      <c r="N162" s="357"/>
      <c r="O162" s="357"/>
      <c r="P162" s="357"/>
      <c r="Q162" s="357"/>
      <c r="R162" s="346"/>
      <c r="S162" s="346"/>
      <c r="T162" s="346"/>
      <c r="U162" s="346"/>
      <c r="V162" s="346"/>
      <c r="W162" s="346">
        <v>1</v>
      </c>
      <c r="X162" s="346"/>
      <c r="Y162" s="346"/>
      <c r="Z162" s="346"/>
      <c r="AA162" s="346"/>
      <c r="AB162" s="346"/>
      <c r="AC162" s="346">
        <f t="shared" si="12"/>
        <v>1</v>
      </c>
      <c r="AD162" s="346" t="s">
        <v>1</v>
      </c>
      <c r="AE162" s="346" t="s">
        <v>104</v>
      </c>
      <c r="AF162" s="350" t="s">
        <v>31</v>
      </c>
      <c r="AG162" s="346">
        <v>0.107</v>
      </c>
      <c r="AH162" s="346">
        <v>3.3000000000000002E-2</v>
      </c>
      <c r="AI162" s="346">
        <v>0.16700000000000001</v>
      </c>
      <c r="AJ162" s="358">
        <f t="shared" si="13"/>
        <v>360525</v>
      </c>
    </row>
    <row r="163" spans="1:36" s="231" customFormat="1" ht="26">
      <c r="A163" s="350" t="s">
        <v>154</v>
      </c>
      <c r="B163" s="347" t="s">
        <v>184</v>
      </c>
      <c r="C163" s="347"/>
      <c r="D163" s="347"/>
      <c r="E163" s="346"/>
      <c r="F163" s="347"/>
      <c r="G163" s="346"/>
      <c r="H163" s="346"/>
      <c r="I163" s="346"/>
      <c r="J163" s="346"/>
      <c r="K163" s="346"/>
      <c r="L163" s="346"/>
      <c r="M163" s="346"/>
      <c r="N163" s="357"/>
      <c r="O163" s="357"/>
      <c r="P163" s="357"/>
      <c r="Q163" s="357"/>
      <c r="R163" s="346"/>
      <c r="S163" s="346"/>
      <c r="T163" s="346"/>
      <c r="U163" s="346"/>
      <c r="V163" s="346"/>
      <c r="W163" s="346"/>
      <c r="X163" s="346"/>
      <c r="Y163" s="346"/>
      <c r="Z163" s="346"/>
      <c r="AA163" s="346"/>
      <c r="AB163" s="346"/>
      <c r="AC163" s="346">
        <f t="shared" si="12"/>
        <v>0</v>
      </c>
      <c r="AD163" s="346"/>
      <c r="AE163" s="346"/>
      <c r="AF163" s="350"/>
      <c r="AG163" s="346"/>
      <c r="AH163" s="346"/>
      <c r="AI163" s="346"/>
      <c r="AJ163" s="358">
        <f t="shared" si="13"/>
        <v>0</v>
      </c>
    </row>
    <row r="164" spans="1:36" s="410" customFormat="1" ht="14">
      <c r="A164" s="400" t="s">
        <v>213</v>
      </c>
      <c r="B164" s="365" t="s">
        <v>185</v>
      </c>
      <c r="C164" s="365"/>
      <c r="D164" s="365"/>
      <c r="E164" s="430"/>
      <c r="F164" s="365"/>
      <c r="G164" s="430"/>
      <c r="H164" s="430"/>
      <c r="I164" s="430"/>
      <c r="J164" s="430"/>
      <c r="K164" s="430"/>
      <c r="L164" s="430"/>
      <c r="M164" s="430"/>
      <c r="N164" s="427"/>
      <c r="O164" s="427"/>
      <c r="P164" s="427"/>
      <c r="Q164" s="427"/>
      <c r="R164" s="430"/>
      <c r="S164" s="430"/>
      <c r="T164" s="430"/>
      <c r="U164" s="430">
        <v>1</v>
      </c>
      <c r="V164" s="430"/>
      <c r="W164" s="430"/>
      <c r="X164" s="430"/>
      <c r="Y164" s="430"/>
      <c r="Z164" s="430"/>
      <c r="AA164" s="430"/>
      <c r="AB164" s="430"/>
      <c r="AC164" s="430">
        <f t="shared" si="12"/>
        <v>1</v>
      </c>
      <c r="AD164" s="430" t="s">
        <v>444</v>
      </c>
      <c r="AE164" s="430" t="s">
        <v>66</v>
      </c>
      <c r="AF164" s="400" t="s">
        <v>31</v>
      </c>
      <c r="AG164" s="430">
        <v>1.6E-2</v>
      </c>
      <c r="AH164" s="430">
        <v>1.6E-2</v>
      </c>
      <c r="AI164" s="430">
        <v>0.02</v>
      </c>
      <c r="AJ164" s="432">
        <f t="shared" si="13"/>
        <v>281209.5</v>
      </c>
    </row>
    <row r="165" spans="1:36" s="410" customFormat="1" ht="14">
      <c r="A165" s="400" t="s">
        <v>214</v>
      </c>
      <c r="B165" s="365" t="s">
        <v>186</v>
      </c>
      <c r="C165" s="365"/>
      <c r="D165" s="365"/>
      <c r="E165" s="430"/>
      <c r="F165" s="365"/>
      <c r="G165" s="430"/>
      <c r="H165" s="430"/>
      <c r="I165" s="430"/>
      <c r="J165" s="430"/>
      <c r="K165" s="430"/>
      <c r="L165" s="430"/>
      <c r="M165" s="430"/>
      <c r="N165" s="427"/>
      <c r="O165" s="427"/>
      <c r="P165" s="427"/>
      <c r="Q165" s="427"/>
      <c r="R165" s="430"/>
      <c r="S165" s="430"/>
      <c r="T165" s="430"/>
      <c r="U165" s="430">
        <v>1</v>
      </c>
      <c r="V165" s="430"/>
      <c r="W165" s="430"/>
      <c r="X165" s="430"/>
      <c r="Y165" s="430"/>
      <c r="Z165" s="430"/>
      <c r="AA165" s="430"/>
      <c r="AB165" s="430"/>
      <c r="AC165" s="430">
        <f t="shared" si="12"/>
        <v>1</v>
      </c>
      <c r="AD165" s="430" t="s">
        <v>444</v>
      </c>
      <c r="AE165" s="430" t="s">
        <v>66</v>
      </c>
      <c r="AF165" s="400" t="s">
        <v>31</v>
      </c>
      <c r="AG165" s="430">
        <v>8.0000000000000002E-3</v>
      </c>
      <c r="AH165" s="430">
        <v>8.0000000000000002E-3</v>
      </c>
      <c r="AI165" s="430">
        <v>0.01</v>
      </c>
      <c r="AJ165" s="432">
        <f t="shared" si="13"/>
        <v>281209.5</v>
      </c>
    </row>
    <row r="166" spans="1:36" s="231" customFormat="1" ht="39">
      <c r="A166" s="350" t="s">
        <v>155</v>
      </c>
      <c r="B166" s="347" t="s">
        <v>187</v>
      </c>
      <c r="C166" s="347"/>
      <c r="D166" s="347"/>
      <c r="E166" s="346"/>
      <c r="F166" s="347"/>
      <c r="G166" s="346"/>
      <c r="H166" s="346"/>
      <c r="I166" s="346"/>
      <c r="J166" s="346"/>
      <c r="K166" s="346"/>
      <c r="L166" s="346"/>
      <c r="M166" s="346"/>
      <c r="N166" s="357"/>
      <c r="O166" s="357"/>
      <c r="P166" s="357"/>
      <c r="Q166" s="357"/>
      <c r="R166" s="346"/>
      <c r="S166" s="346"/>
      <c r="T166" s="346"/>
      <c r="U166" s="346">
        <v>1</v>
      </c>
      <c r="V166" s="346"/>
      <c r="W166" s="346"/>
      <c r="X166" s="346"/>
      <c r="Y166" s="346"/>
      <c r="Z166" s="346"/>
      <c r="AA166" s="346"/>
      <c r="AB166" s="346"/>
      <c r="AC166" s="346">
        <f t="shared" si="12"/>
        <v>1</v>
      </c>
      <c r="AD166" s="346" t="s">
        <v>444</v>
      </c>
      <c r="AE166" s="346" t="s">
        <v>66</v>
      </c>
      <c r="AF166" s="350" t="s">
        <v>31</v>
      </c>
      <c r="AG166" s="346">
        <v>4.0000000000000001E-3</v>
      </c>
      <c r="AH166" s="346">
        <v>4.0000000000000001E-3</v>
      </c>
      <c r="AI166" s="346">
        <v>5.0000000000000001E-3</v>
      </c>
      <c r="AJ166" s="358">
        <f t="shared" si="13"/>
        <v>281209.5</v>
      </c>
    </row>
    <row r="167" spans="1:36" s="126" customFormat="1" ht="15.75" customHeight="1">
      <c r="A167" s="924" t="s">
        <v>156</v>
      </c>
      <c r="B167" s="925" t="s">
        <v>215</v>
      </c>
      <c r="C167" s="417"/>
      <c r="D167" s="417"/>
      <c r="E167" s="402"/>
      <c r="F167" s="401"/>
      <c r="G167" s="402"/>
      <c r="H167" s="402"/>
      <c r="I167" s="402"/>
      <c r="J167" s="402"/>
      <c r="K167" s="402"/>
      <c r="L167" s="402">
        <v>1</v>
      </c>
      <c r="M167" s="402"/>
      <c r="N167" s="403"/>
      <c r="O167" s="403"/>
      <c r="P167" s="403"/>
      <c r="Q167" s="403"/>
      <c r="R167" s="402"/>
      <c r="S167" s="402"/>
      <c r="T167" s="402"/>
      <c r="U167" s="402"/>
      <c r="V167" s="402">
        <v>1</v>
      </c>
      <c r="W167" s="402"/>
      <c r="X167" s="402"/>
      <c r="Y167" s="402"/>
      <c r="Z167" s="402"/>
      <c r="AA167" s="402"/>
      <c r="AB167" s="402"/>
      <c r="AC167" s="402">
        <f t="shared" si="12"/>
        <v>2</v>
      </c>
      <c r="AD167" s="880" t="s">
        <v>51</v>
      </c>
      <c r="AE167" s="880" t="s">
        <v>442</v>
      </c>
      <c r="AF167" s="883" t="s">
        <v>32</v>
      </c>
      <c r="AG167" s="406">
        <v>1</v>
      </c>
      <c r="AH167" s="406">
        <v>1</v>
      </c>
      <c r="AI167" s="406">
        <v>1.3</v>
      </c>
      <c r="AJ167" s="404">
        <f t="shared" si="13"/>
        <v>616497.75</v>
      </c>
    </row>
    <row r="168" spans="1:36" s="126" customFormat="1" ht="15.75" customHeight="1">
      <c r="A168" s="924"/>
      <c r="B168" s="925"/>
      <c r="C168" s="417"/>
      <c r="D168" s="417"/>
      <c r="E168" s="402">
        <v>1</v>
      </c>
      <c r="F168" s="401"/>
      <c r="G168" s="402"/>
      <c r="H168" s="402"/>
      <c r="I168" s="402"/>
      <c r="J168" s="402"/>
      <c r="K168" s="402"/>
      <c r="L168" s="402"/>
      <c r="M168" s="402"/>
      <c r="N168" s="403"/>
      <c r="O168" s="403"/>
      <c r="P168" s="403"/>
      <c r="Q168" s="403"/>
      <c r="R168" s="402"/>
      <c r="S168" s="402"/>
      <c r="T168" s="402"/>
      <c r="U168" s="402"/>
      <c r="V168" s="402"/>
      <c r="W168" s="402"/>
      <c r="X168" s="402"/>
      <c r="Y168" s="402"/>
      <c r="Z168" s="402"/>
      <c r="AA168" s="402"/>
      <c r="AB168" s="402"/>
      <c r="AC168" s="402">
        <f t="shared" si="12"/>
        <v>1</v>
      </c>
      <c r="AD168" s="881"/>
      <c r="AE168" s="881"/>
      <c r="AF168" s="885"/>
      <c r="AG168" s="406">
        <v>0.59</v>
      </c>
      <c r="AH168" s="406">
        <v>0.59</v>
      </c>
      <c r="AI168" s="406">
        <v>0.76700000000000002</v>
      </c>
      <c r="AJ168" s="404">
        <f t="shared" si="13"/>
        <v>151259</v>
      </c>
    </row>
    <row r="169" spans="1:36" s="126" customFormat="1" ht="15.75" customHeight="1">
      <c r="A169" s="924"/>
      <c r="B169" s="925"/>
      <c r="C169" s="417"/>
      <c r="D169" s="417"/>
      <c r="E169" s="402"/>
      <c r="F169" s="401"/>
      <c r="G169" s="402"/>
      <c r="H169" s="402"/>
      <c r="I169" s="402"/>
      <c r="J169" s="402"/>
      <c r="K169" s="402"/>
      <c r="L169" s="402">
        <v>1</v>
      </c>
      <c r="M169" s="402"/>
      <c r="N169" s="403"/>
      <c r="O169" s="403"/>
      <c r="P169" s="403"/>
      <c r="Q169" s="403"/>
      <c r="R169" s="402"/>
      <c r="S169" s="402"/>
      <c r="T169" s="402"/>
      <c r="U169" s="402"/>
      <c r="V169" s="402">
        <v>1</v>
      </c>
      <c r="W169" s="402"/>
      <c r="X169" s="402"/>
      <c r="Y169" s="402"/>
      <c r="Z169" s="402"/>
      <c r="AA169" s="402"/>
      <c r="AB169" s="402"/>
      <c r="AC169" s="402">
        <f t="shared" si="12"/>
        <v>2</v>
      </c>
      <c r="AD169" s="881"/>
      <c r="AE169" s="881"/>
      <c r="AF169" s="880">
        <v>2</v>
      </c>
      <c r="AG169" s="406">
        <v>1.1000000000000001</v>
      </c>
      <c r="AH169" s="406">
        <v>1.1000000000000001</v>
      </c>
      <c r="AI169" s="406">
        <v>1.43</v>
      </c>
      <c r="AJ169" s="404">
        <f t="shared" si="13"/>
        <v>616497.75</v>
      </c>
    </row>
    <row r="170" spans="1:36" s="126" customFormat="1" ht="15.75" customHeight="1">
      <c r="A170" s="924"/>
      <c r="B170" s="925"/>
      <c r="C170" s="417"/>
      <c r="D170" s="417"/>
      <c r="E170" s="402">
        <v>1</v>
      </c>
      <c r="F170" s="401"/>
      <c r="G170" s="402"/>
      <c r="H170" s="402"/>
      <c r="I170" s="402"/>
      <c r="J170" s="402"/>
      <c r="K170" s="402"/>
      <c r="L170" s="402"/>
      <c r="M170" s="402"/>
      <c r="N170" s="403"/>
      <c r="O170" s="403"/>
      <c r="P170" s="403"/>
      <c r="Q170" s="403"/>
      <c r="R170" s="402"/>
      <c r="S170" s="402"/>
      <c r="T170" s="402"/>
      <c r="U170" s="402"/>
      <c r="V170" s="402"/>
      <c r="W170" s="402"/>
      <c r="X170" s="402"/>
      <c r="Y170" s="402"/>
      <c r="Z170" s="402"/>
      <c r="AA170" s="402"/>
      <c r="AB170" s="402"/>
      <c r="AC170" s="402">
        <f t="shared" si="12"/>
        <v>1</v>
      </c>
      <c r="AD170" s="881"/>
      <c r="AE170" s="881"/>
      <c r="AF170" s="882"/>
      <c r="AG170" s="406">
        <v>0.65</v>
      </c>
      <c r="AH170" s="406">
        <v>0.65</v>
      </c>
      <c r="AI170" s="406">
        <v>0.84499999999999997</v>
      </c>
      <c r="AJ170" s="404">
        <f t="shared" si="13"/>
        <v>151259</v>
      </c>
    </row>
    <row r="171" spans="1:36" s="126" customFormat="1" ht="15.75" customHeight="1">
      <c r="A171" s="924"/>
      <c r="B171" s="925"/>
      <c r="C171" s="417"/>
      <c r="D171" s="417"/>
      <c r="E171" s="402"/>
      <c r="F171" s="401"/>
      <c r="G171" s="402"/>
      <c r="H171" s="402"/>
      <c r="I171" s="402"/>
      <c r="J171" s="402"/>
      <c r="K171" s="402"/>
      <c r="L171" s="402">
        <v>1</v>
      </c>
      <c r="M171" s="402"/>
      <c r="N171" s="403"/>
      <c r="O171" s="403"/>
      <c r="P171" s="403"/>
      <c r="Q171" s="403"/>
      <c r="R171" s="402"/>
      <c r="S171" s="402"/>
      <c r="T171" s="402"/>
      <c r="U171" s="402"/>
      <c r="V171" s="402">
        <v>1</v>
      </c>
      <c r="W171" s="402"/>
      <c r="X171" s="402"/>
      <c r="Y171" s="402"/>
      <c r="Z171" s="402"/>
      <c r="AA171" s="402"/>
      <c r="AB171" s="402"/>
      <c r="AC171" s="402">
        <f t="shared" si="12"/>
        <v>2</v>
      </c>
      <c r="AD171" s="881"/>
      <c r="AE171" s="881"/>
      <c r="AF171" s="883" t="s">
        <v>34</v>
      </c>
      <c r="AG171" s="406">
        <v>1.21</v>
      </c>
      <c r="AH171" s="406">
        <v>1.21</v>
      </c>
      <c r="AI171" s="406">
        <v>1.573</v>
      </c>
      <c r="AJ171" s="404">
        <f t="shared" si="13"/>
        <v>616497.75</v>
      </c>
    </row>
    <row r="172" spans="1:36" ht="18" customHeight="1">
      <c r="A172" s="407"/>
      <c r="B172" s="408"/>
      <c r="C172" s="408"/>
      <c r="D172" s="408"/>
      <c r="E172" s="226">
        <v>1</v>
      </c>
      <c r="F172" s="408"/>
      <c r="G172" s="408"/>
      <c r="H172" s="408"/>
      <c r="I172" s="408"/>
      <c r="J172" s="408"/>
      <c r="K172" s="408"/>
      <c r="L172" s="408"/>
      <c r="M172" s="408"/>
      <c r="N172" s="408"/>
      <c r="O172" s="408"/>
      <c r="P172" s="408"/>
      <c r="Q172" s="408"/>
      <c r="R172" s="408"/>
      <c r="S172" s="408"/>
      <c r="T172" s="408"/>
      <c r="U172" s="408"/>
      <c r="V172" s="408"/>
      <c r="W172" s="408"/>
      <c r="X172" s="408"/>
      <c r="Y172" s="408"/>
      <c r="Z172" s="408"/>
      <c r="AA172" s="408"/>
      <c r="AB172" s="408"/>
      <c r="AC172" s="402">
        <f t="shared" si="12"/>
        <v>1</v>
      </c>
      <c r="AD172" s="882"/>
      <c r="AE172" s="882"/>
      <c r="AF172" s="885"/>
      <c r="AG172" s="368">
        <v>0.71</v>
      </c>
      <c r="AH172" s="368">
        <v>0.71</v>
      </c>
      <c r="AI172" s="368">
        <v>0.92300000000000004</v>
      </c>
      <c r="AJ172" s="351">
        <f t="shared" si="13"/>
        <v>151259</v>
      </c>
    </row>
    <row r="173" spans="1:36" ht="26">
      <c r="A173" s="412" t="s">
        <v>157</v>
      </c>
      <c r="B173" s="347" t="s">
        <v>514</v>
      </c>
      <c r="C173" s="347"/>
      <c r="D173" s="347"/>
      <c r="E173" s="408"/>
      <c r="F173" s="408"/>
      <c r="G173" s="408"/>
      <c r="H173" s="408"/>
      <c r="I173" s="408"/>
      <c r="J173" s="408"/>
      <c r="K173" s="408"/>
      <c r="L173" s="408"/>
      <c r="M173" s="408"/>
      <c r="N173" s="408"/>
      <c r="O173" s="408"/>
      <c r="P173" s="408"/>
      <c r="Q173" s="408"/>
      <c r="R173" s="408"/>
      <c r="S173" s="408"/>
      <c r="T173" s="408"/>
      <c r="U173" s="408"/>
      <c r="V173" s="226">
        <v>1</v>
      </c>
      <c r="W173" s="408"/>
      <c r="X173" s="408"/>
      <c r="Y173" s="408"/>
      <c r="Z173" s="408"/>
      <c r="AA173" s="408"/>
      <c r="AB173" s="408"/>
      <c r="AC173" s="402">
        <f t="shared" si="12"/>
        <v>1</v>
      </c>
      <c r="AD173" s="402" t="s">
        <v>51</v>
      </c>
      <c r="AE173" s="278" t="s">
        <v>67</v>
      </c>
      <c r="AF173" s="342" t="s">
        <v>31</v>
      </c>
      <c r="AG173" s="368">
        <v>0.05</v>
      </c>
      <c r="AH173" s="368">
        <v>0.05</v>
      </c>
      <c r="AI173" s="368">
        <v>0.05</v>
      </c>
      <c r="AJ173" s="351">
        <f t="shared" si="13"/>
        <v>320867.25</v>
      </c>
    </row>
    <row r="174" spans="1:36" ht="26">
      <c r="A174" s="412">
        <v>8</v>
      </c>
      <c r="B174" s="347" t="s">
        <v>532</v>
      </c>
      <c r="C174" s="347"/>
      <c r="D174" s="347"/>
      <c r="E174" s="408"/>
      <c r="F174" s="408"/>
      <c r="G174" s="408"/>
      <c r="H174" s="408"/>
      <c r="I174" s="408"/>
      <c r="J174" s="408"/>
      <c r="K174" s="408"/>
      <c r="L174" s="408"/>
      <c r="M174" s="408"/>
      <c r="N174" s="408"/>
      <c r="O174" s="408"/>
      <c r="P174" s="408"/>
      <c r="Q174" s="408"/>
      <c r="R174" s="408"/>
      <c r="S174" s="408"/>
      <c r="T174" s="408"/>
      <c r="U174" s="408"/>
      <c r="V174" s="226">
        <v>1</v>
      </c>
      <c r="W174" s="408"/>
      <c r="X174" s="408"/>
      <c r="Y174" s="408"/>
      <c r="Z174" s="408"/>
      <c r="AA174" s="408"/>
      <c r="AB174" s="408"/>
      <c r="AC174" s="402">
        <f t="shared" si="12"/>
        <v>1</v>
      </c>
      <c r="AD174" s="402" t="s">
        <v>51</v>
      </c>
      <c r="AE174" s="278" t="s">
        <v>67</v>
      </c>
      <c r="AF174" s="342" t="s">
        <v>31</v>
      </c>
      <c r="AG174" s="368">
        <v>0.05</v>
      </c>
      <c r="AH174" s="368">
        <v>0.05</v>
      </c>
      <c r="AI174" s="368">
        <v>0.05</v>
      </c>
      <c r="AJ174" s="351">
        <f t="shared" si="13"/>
        <v>320867.25</v>
      </c>
    </row>
    <row r="175" spans="1:36" ht="22.15" customHeight="1">
      <c r="A175" s="341" t="s">
        <v>125</v>
      </c>
      <c r="B175" s="894" t="s">
        <v>191</v>
      </c>
      <c r="C175" s="894"/>
      <c r="D175" s="894"/>
      <c r="E175" s="894"/>
      <c r="F175" s="894"/>
      <c r="G175" s="894"/>
      <c r="H175" s="894"/>
      <c r="I175" s="894"/>
      <c r="J175" s="894"/>
      <c r="K175" s="894"/>
      <c r="L175" s="894"/>
      <c r="M175" s="894"/>
      <c r="N175" s="894"/>
      <c r="O175" s="894"/>
      <c r="P175" s="894"/>
      <c r="Q175" s="894"/>
      <c r="R175" s="894"/>
      <c r="S175" s="894"/>
      <c r="T175" s="894"/>
      <c r="U175" s="894"/>
      <c r="V175" s="894"/>
      <c r="W175" s="894"/>
      <c r="X175" s="894"/>
      <c r="Y175" s="894"/>
      <c r="Z175" s="894"/>
      <c r="AA175" s="894"/>
      <c r="AB175" s="894"/>
      <c r="AC175" s="894"/>
      <c r="AD175" s="894"/>
      <c r="AE175" s="894"/>
      <c r="AF175" s="894"/>
      <c r="AG175" s="233" t="s">
        <v>209</v>
      </c>
      <c r="AH175" s="233" t="s">
        <v>210</v>
      </c>
      <c r="AI175" s="233" t="s">
        <v>211</v>
      </c>
      <c r="AJ175" s="75"/>
    </row>
    <row r="176" spans="1:36" ht="39">
      <c r="A176" s="350" t="s">
        <v>32</v>
      </c>
      <c r="B176" s="347" t="s">
        <v>533</v>
      </c>
      <c r="C176" s="347"/>
      <c r="D176" s="347"/>
      <c r="E176" s="278"/>
      <c r="F176" s="279"/>
      <c r="G176" s="278"/>
      <c r="H176" s="278"/>
      <c r="I176" s="278"/>
      <c r="J176" s="278"/>
      <c r="K176" s="278"/>
      <c r="L176" s="278"/>
      <c r="M176" s="278"/>
      <c r="N176" s="301"/>
      <c r="O176" s="301"/>
      <c r="P176" s="301"/>
      <c r="Q176" s="301"/>
      <c r="R176" s="278"/>
      <c r="S176" s="278"/>
      <c r="T176" s="278"/>
      <c r="U176" s="278"/>
      <c r="V176" s="278"/>
      <c r="W176" s="278">
        <v>1</v>
      </c>
      <c r="X176" s="278"/>
      <c r="Y176" s="278"/>
      <c r="Z176" s="278"/>
      <c r="AA176" s="278"/>
      <c r="AB176" s="278"/>
      <c r="AC176" s="278">
        <f t="shared" ref="AC176:AC197" si="14">SUM(E176:AB176)</f>
        <v>1</v>
      </c>
      <c r="AD176" s="278" t="s">
        <v>51</v>
      </c>
      <c r="AE176" s="278" t="s">
        <v>104</v>
      </c>
      <c r="AF176" s="342" t="s">
        <v>31</v>
      </c>
      <c r="AG176" s="301">
        <v>1</v>
      </c>
      <c r="AH176" s="301">
        <v>1</v>
      </c>
      <c r="AI176" s="301">
        <v>1.3</v>
      </c>
      <c r="AJ176" s="351">
        <f t="shared" ref="AJ176:AJ197" si="15">(E176*E$6+F176*F$6+G176*G$6+H176*H$6+I176*I$6+J176*J$6+K176*K$6+L176*L$6+M176*M$6+N176*N$6+O176*O$6+P176*P$6+Q176*Q$6+R176*R$6+S176*S$6+T176*T$6+U176*U$6+V176*V$6+W176*W$6+X176*X$6+Y176*Y$6+Z176*Z$6+AA176*AA$6+AB176*AB$6)</f>
        <v>360525</v>
      </c>
    </row>
    <row r="177" spans="1:36" ht="26.25" customHeight="1">
      <c r="A177" s="350" t="s">
        <v>33</v>
      </c>
      <c r="B177" s="347" t="s">
        <v>534</v>
      </c>
      <c r="C177" s="347"/>
      <c r="D177" s="347"/>
      <c r="E177" s="278"/>
      <c r="F177" s="279"/>
      <c r="G177" s="278"/>
      <c r="H177" s="278"/>
      <c r="I177" s="278"/>
      <c r="J177" s="278"/>
      <c r="K177" s="278"/>
      <c r="L177" s="278"/>
      <c r="M177" s="278"/>
      <c r="N177" s="301"/>
      <c r="O177" s="301"/>
      <c r="P177" s="301"/>
      <c r="Q177" s="301"/>
      <c r="R177" s="278"/>
      <c r="S177" s="278"/>
      <c r="T177" s="278"/>
      <c r="U177" s="278"/>
      <c r="V177" s="278"/>
      <c r="W177" s="278">
        <v>1</v>
      </c>
      <c r="X177" s="278"/>
      <c r="Y177" s="278"/>
      <c r="Z177" s="278"/>
      <c r="AA177" s="278"/>
      <c r="AB177" s="278"/>
      <c r="AC177" s="278">
        <f t="shared" si="14"/>
        <v>1</v>
      </c>
      <c r="AD177" s="278" t="s">
        <v>1</v>
      </c>
      <c r="AE177" s="278" t="s">
        <v>104</v>
      </c>
      <c r="AF177" s="342" t="s">
        <v>31</v>
      </c>
      <c r="AG177" s="278">
        <v>0.05</v>
      </c>
      <c r="AH177" s="278">
        <v>0.05</v>
      </c>
      <c r="AI177" s="278">
        <v>0.05</v>
      </c>
      <c r="AJ177" s="351">
        <f t="shared" si="15"/>
        <v>360525</v>
      </c>
    </row>
    <row r="178" spans="1:36" s="183" customFormat="1" ht="26">
      <c r="A178" s="311">
        <v>3</v>
      </c>
      <c r="B178" s="312" t="s">
        <v>463</v>
      </c>
      <c r="C178" s="312"/>
      <c r="D178" s="312"/>
      <c r="E178" s="346"/>
      <c r="F178" s="347"/>
      <c r="G178" s="346"/>
      <c r="H178" s="346"/>
      <c r="I178" s="346"/>
      <c r="J178" s="346"/>
      <c r="K178" s="346"/>
      <c r="L178" s="346"/>
      <c r="M178" s="346"/>
      <c r="N178" s="357"/>
      <c r="O178" s="357"/>
      <c r="P178" s="357"/>
      <c r="Q178" s="357"/>
      <c r="R178" s="346"/>
      <c r="S178" s="346"/>
      <c r="T178" s="346"/>
      <c r="U178" s="346"/>
      <c r="V178" s="346">
        <v>1</v>
      </c>
      <c r="W178" s="346"/>
      <c r="X178" s="346"/>
      <c r="Y178" s="346"/>
      <c r="Z178" s="346"/>
      <c r="AA178" s="346"/>
      <c r="AB178" s="346"/>
      <c r="AC178" s="346">
        <f t="shared" si="14"/>
        <v>1</v>
      </c>
      <c r="AD178" s="346" t="s">
        <v>51</v>
      </c>
      <c r="AE178" s="346" t="s">
        <v>67</v>
      </c>
      <c r="AF178" s="350" t="s">
        <v>31</v>
      </c>
      <c r="AG178" s="346">
        <v>0.47</v>
      </c>
      <c r="AH178" s="346">
        <v>0.47</v>
      </c>
      <c r="AI178" s="346">
        <v>0.61099999999999999</v>
      </c>
      <c r="AJ178" s="358">
        <f t="shared" si="15"/>
        <v>320867.25</v>
      </c>
    </row>
    <row r="179" spans="1:36" ht="36.75" customHeight="1">
      <c r="A179" s="342" t="s">
        <v>154</v>
      </c>
      <c r="B179" s="312" t="s">
        <v>535</v>
      </c>
      <c r="C179" s="312"/>
      <c r="D179" s="312"/>
      <c r="E179" s="278"/>
      <c r="F179" s="279"/>
      <c r="G179" s="278"/>
      <c r="H179" s="278"/>
      <c r="I179" s="278"/>
      <c r="J179" s="278"/>
      <c r="K179" s="278"/>
      <c r="L179" s="278"/>
      <c r="M179" s="278"/>
      <c r="N179" s="301"/>
      <c r="O179" s="301"/>
      <c r="P179" s="301"/>
      <c r="Q179" s="301"/>
      <c r="R179" s="278"/>
      <c r="S179" s="278"/>
      <c r="T179" s="278"/>
      <c r="U179" s="278"/>
      <c r="V179" s="278"/>
      <c r="W179" s="278"/>
      <c r="X179" s="278"/>
      <c r="Y179" s="278"/>
      <c r="Z179" s="278"/>
      <c r="AA179" s="278"/>
      <c r="AB179" s="278"/>
      <c r="AC179" s="278">
        <f>SUM(E179:AB179)</f>
        <v>0</v>
      </c>
      <c r="AD179" s="278"/>
      <c r="AE179" s="278"/>
      <c r="AF179" s="278"/>
      <c r="AG179" s="278"/>
      <c r="AH179" s="278"/>
      <c r="AI179" s="278"/>
      <c r="AJ179" s="351">
        <f>(E179*E$6+F179*F$6+G179*G$6+H179*H$6+I179*I$6+J179*J$6+K179*K$6+L179*L$6+M179*M$6+N179*N$6+O179*O$6+P179*P$6+Q179*Q$6+R179*R$6+S179*S$6+T179*T$6+U179*U$6+V179*V$6+W179*W$6+X179*X$6+Y179*Y$6+Z179*Z$6+AA179*AA$6+AB179*AB$6)</f>
        <v>0</v>
      </c>
    </row>
    <row r="180" spans="1:36" s="305" customFormat="1" ht="16.5" customHeight="1">
      <c r="A180" s="563" t="s">
        <v>213</v>
      </c>
      <c r="B180" s="440" t="s">
        <v>470</v>
      </c>
      <c r="C180" s="440"/>
      <c r="D180" s="440"/>
      <c r="E180" s="439"/>
      <c r="F180" s="564"/>
      <c r="G180" s="439"/>
      <c r="H180" s="439"/>
      <c r="I180" s="439"/>
      <c r="J180" s="439"/>
      <c r="K180" s="439"/>
      <c r="L180" s="439"/>
      <c r="M180" s="439"/>
      <c r="N180" s="575"/>
      <c r="O180" s="575"/>
      <c r="P180" s="575"/>
      <c r="Q180" s="575"/>
      <c r="R180" s="439"/>
      <c r="S180" s="439"/>
      <c r="T180" s="439"/>
      <c r="U180" s="439"/>
      <c r="V180" s="439"/>
      <c r="W180" s="439">
        <v>1</v>
      </c>
      <c r="X180" s="439"/>
      <c r="Y180" s="439"/>
      <c r="Z180" s="439"/>
      <c r="AA180" s="439"/>
      <c r="AB180" s="439"/>
      <c r="AC180" s="439">
        <f>SUM(E180:AB180)</f>
        <v>1</v>
      </c>
      <c r="AD180" s="439" t="s">
        <v>51</v>
      </c>
      <c r="AE180" s="439" t="s">
        <v>104</v>
      </c>
      <c r="AF180" s="563" t="s">
        <v>31</v>
      </c>
      <c r="AG180" s="439">
        <v>1.21</v>
      </c>
      <c r="AH180" s="439">
        <v>1.21</v>
      </c>
      <c r="AI180" s="439">
        <v>1.573</v>
      </c>
      <c r="AJ180" s="576">
        <f>(E180*E$6+F180*F$6+G180*G$6+H180*H$6+I180*I$6+J180*J$6+K180*K$6+L180*L$6+M180*M$6+N180*N$6+O180*O$6+P180*P$6+Q180*Q$6+R180*R$6+S180*S$6+T180*T$6+U180*U$6+V180*V$6+W180*W$6+X180*X$6+Y180*Y$6+Z180*Z$6+AA180*AA$6+AB180*AB$6)</f>
        <v>360525</v>
      </c>
    </row>
    <row r="181" spans="1:36" s="305" customFormat="1" ht="16.5" customHeight="1">
      <c r="A181" s="563" t="s">
        <v>214</v>
      </c>
      <c r="B181" s="440" t="s">
        <v>471</v>
      </c>
      <c r="C181" s="440"/>
      <c r="D181" s="440"/>
      <c r="E181" s="439"/>
      <c r="F181" s="564"/>
      <c r="G181" s="439"/>
      <c r="H181" s="439"/>
      <c r="I181" s="439"/>
      <c r="J181" s="439"/>
      <c r="K181" s="439"/>
      <c r="L181" s="439"/>
      <c r="M181" s="439"/>
      <c r="N181" s="575"/>
      <c r="O181" s="575"/>
      <c r="P181" s="575"/>
      <c r="Q181" s="575"/>
      <c r="R181" s="439"/>
      <c r="S181" s="439"/>
      <c r="T181" s="439"/>
      <c r="U181" s="439"/>
      <c r="V181" s="439"/>
      <c r="W181" s="439"/>
      <c r="X181" s="439">
        <v>1</v>
      </c>
      <c r="Y181" s="439"/>
      <c r="Z181" s="439"/>
      <c r="AA181" s="439"/>
      <c r="AB181" s="439"/>
      <c r="AC181" s="439">
        <f>SUM(E181:AB181)</f>
        <v>1</v>
      </c>
      <c r="AD181" s="439" t="s">
        <v>51</v>
      </c>
      <c r="AE181" s="439" t="s">
        <v>69</v>
      </c>
      <c r="AF181" s="563" t="s">
        <v>31</v>
      </c>
      <c r="AG181" s="439">
        <v>1.46</v>
      </c>
      <c r="AH181" s="439">
        <v>1.46</v>
      </c>
      <c r="AI181" s="439">
        <v>1.9</v>
      </c>
      <c r="AJ181" s="576">
        <f>(E181*E$6+F181*F$6+G181*G$6+H181*H$6+I181*I$6+J181*J$6+K181*K$6+L181*L$6+M181*M$6+N181*N$6+O181*O$6+P181*P$6+Q181*Q$6+R181*R$6+S181*S$6+T181*T$6+U181*U$6+V181*V$6+W181*W$6+X181*X$6+Y181*Y$6+Z181*Z$6+AA181*AA$6+AB181*AB$6)</f>
        <v>400182.75</v>
      </c>
    </row>
    <row r="182" spans="1:36" s="183" customFormat="1" ht="26">
      <c r="A182" s="569" t="s">
        <v>155</v>
      </c>
      <c r="B182" s="312" t="s">
        <v>216</v>
      </c>
      <c r="C182" s="312"/>
      <c r="D182" s="312"/>
      <c r="E182" s="311"/>
      <c r="F182" s="366"/>
      <c r="G182" s="311"/>
      <c r="H182" s="311"/>
      <c r="I182" s="311"/>
      <c r="J182" s="311"/>
      <c r="K182" s="311"/>
      <c r="L182" s="311"/>
      <c r="M182" s="311"/>
      <c r="N182" s="367"/>
      <c r="O182" s="367"/>
      <c r="P182" s="367"/>
      <c r="Q182" s="367"/>
      <c r="R182" s="311"/>
      <c r="S182" s="311"/>
      <c r="T182" s="311"/>
      <c r="U182" s="311"/>
      <c r="V182" s="311"/>
      <c r="W182" s="311">
        <v>1</v>
      </c>
      <c r="X182" s="311"/>
      <c r="Y182" s="311"/>
      <c r="Z182" s="311"/>
      <c r="AA182" s="311"/>
      <c r="AB182" s="311"/>
      <c r="AC182" s="311">
        <f t="shared" si="14"/>
        <v>1</v>
      </c>
      <c r="AD182" s="311" t="s">
        <v>1</v>
      </c>
      <c r="AE182" s="311" t="s">
        <v>104</v>
      </c>
      <c r="AF182" s="569" t="s">
        <v>31</v>
      </c>
      <c r="AG182" s="311">
        <v>3.0000000000000001E-3</v>
      </c>
      <c r="AH182" s="311">
        <v>3.0000000000000001E-3</v>
      </c>
      <c r="AI182" s="311">
        <v>3.0000000000000001E-3</v>
      </c>
      <c r="AJ182" s="374">
        <f t="shared" si="15"/>
        <v>360525</v>
      </c>
    </row>
    <row r="183" spans="1:36" s="183" customFormat="1" ht="26">
      <c r="A183" s="569" t="s">
        <v>156</v>
      </c>
      <c r="B183" s="312" t="s">
        <v>536</v>
      </c>
      <c r="C183" s="312"/>
      <c r="D183" s="312"/>
      <c r="E183" s="311"/>
      <c r="F183" s="366"/>
      <c r="G183" s="311"/>
      <c r="H183" s="311"/>
      <c r="I183" s="311"/>
      <c r="J183" s="311"/>
      <c r="K183" s="311"/>
      <c r="L183" s="311"/>
      <c r="M183" s="311"/>
      <c r="N183" s="367"/>
      <c r="O183" s="367"/>
      <c r="P183" s="367"/>
      <c r="Q183" s="367"/>
      <c r="R183" s="311"/>
      <c r="S183" s="311"/>
      <c r="T183" s="311"/>
      <c r="U183" s="311"/>
      <c r="V183" s="311">
        <v>1</v>
      </c>
      <c r="W183" s="311"/>
      <c r="X183" s="311"/>
      <c r="Y183" s="311"/>
      <c r="Z183" s="311"/>
      <c r="AA183" s="311"/>
      <c r="AB183" s="311"/>
      <c r="AC183" s="311">
        <f t="shared" si="14"/>
        <v>1</v>
      </c>
      <c r="AD183" s="311" t="s">
        <v>51</v>
      </c>
      <c r="AE183" s="311" t="s">
        <v>67</v>
      </c>
      <c r="AF183" s="569" t="s">
        <v>31</v>
      </c>
      <c r="AG183" s="311">
        <v>3.3000000000000002E-2</v>
      </c>
      <c r="AH183" s="311">
        <v>3.3000000000000002E-2</v>
      </c>
      <c r="AI183" s="311">
        <v>3.3000000000000002E-2</v>
      </c>
      <c r="AJ183" s="374">
        <f t="shared" si="15"/>
        <v>320867.25</v>
      </c>
    </row>
    <row r="184" spans="1:36" s="183" customFormat="1" ht="23.25" customHeight="1">
      <c r="A184" s="569" t="s">
        <v>157</v>
      </c>
      <c r="B184" s="312" t="s">
        <v>173</v>
      </c>
      <c r="C184" s="312"/>
      <c r="D184" s="312"/>
      <c r="E184" s="311"/>
      <c r="F184" s="366"/>
      <c r="G184" s="311"/>
      <c r="H184" s="311"/>
      <c r="I184" s="311"/>
      <c r="J184" s="311"/>
      <c r="K184" s="311"/>
      <c r="L184" s="311"/>
      <c r="M184" s="311"/>
      <c r="N184" s="367"/>
      <c r="O184" s="367"/>
      <c r="P184" s="367"/>
      <c r="Q184" s="367"/>
      <c r="R184" s="311"/>
      <c r="S184" s="311"/>
      <c r="T184" s="311"/>
      <c r="U184" s="311"/>
      <c r="V184" s="311"/>
      <c r="W184" s="311">
        <v>1</v>
      </c>
      <c r="X184" s="311"/>
      <c r="Y184" s="311"/>
      <c r="Z184" s="311"/>
      <c r="AA184" s="311"/>
      <c r="AB184" s="311"/>
      <c r="AC184" s="311">
        <f t="shared" si="14"/>
        <v>1</v>
      </c>
      <c r="AD184" s="311" t="s">
        <v>51</v>
      </c>
      <c r="AE184" s="311" t="s">
        <v>104</v>
      </c>
      <c r="AF184" s="569" t="s">
        <v>31</v>
      </c>
      <c r="AG184" s="415">
        <v>0.2</v>
      </c>
      <c r="AH184" s="415"/>
      <c r="AI184" s="415">
        <v>0.2</v>
      </c>
      <c r="AJ184" s="374">
        <f t="shared" si="15"/>
        <v>360525</v>
      </c>
    </row>
    <row r="185" spans="1:36" s="183" customFormat="1" ht="18" customHeight="1">
      <c r="A185" s="569" t="s">
        <v>158</v>
      </c>
      <c r="B185" s="366" t="s">
        <v>174</v>
      </c>
      <c r="C185" s="366"/>
      <c r="D185" s="366"/>
      <c r="E185" s="311"/>
      <c r="F185" s="580"/>
      <c r="G185" s="580"/>
      <c r="H185" s="580"/>
      <c r="I185" s="580"/>
      <c r="J185" s="580"/>
      <c r="K185" s="580"/>
      <c r="L185" s="580"/>
      <c r="M185" s="580"/>
      <c r="N185" s="580"/>
      <c r="O185" s="580"/>
      <c r="P185" s="580"/>
      <c r="Q185" s="580"/>
      <c r="R185" s="580"/>
      <c r="S185" s="580"/>
      <c r="T185" s="580"/>
      <c r="U185" s="580"/>
      <c r="V185" s="580"/>
      <c r="W185" s="580"/>
      <c r="X185" s="580"/>
      <c r="Y185" s="580"/>
      <c r="Z185" s="580"/>
      <c r="AA185" s="580"/>
      <c r="AB185" s="580"/>
      <c r="AC185" s="311"/>
      <c r="AD185" s="580"/>
      <c r="AE185" s="580"/>
      <c r="AF185" s="580"/>
      <c r="AG185" s="580"/>
      <c r="AH185" s="580"/>
      <c r="AI185" s="580"/>
      <c r="AJ185" s="580"/>
    </row>
    <row r="186" spans="1:36" s="305" customFormat="1" ht="18" customHeight="1">
      <c r="A186" s="563" t="s">
        <v>159</v>
      </c>
      <c r="B186" s="564" t="s">
        <v>176</v>
      </c>
      <c r="C186" s="564"/>
      <c r="D186" s="564"/>
      <c r="E186" s="311"/>
      <c r="F186" s="366"/>
      <c r="G186" s="311"/>
      <c r="H186" s="311"/>
      <c r="I186" s="311"/>
      <c r="J186" s="311"/>
      <c r="K186" s="311"/>
      <c r="L186" s="311"/>
      <c r="M186" s="311"/>
      <c r="N186" s="367"/>
      <c r="O186" s="367"/>
      <c r="P186" s="367"/>
      <c r="Q186" s="367"/>
      <c r="R186" s="311"/>
      <c r="S186" s="311"/>
      <c r="T186" s="311"/>
      <c r="U186" s="311"/>
      <c r="V186" s="311">
        <v>1</v>
      </c>
      <c r="W186" s="311"/>
      <c r="X186" s="311"/>
      <c r="Y186" s="311"/>
      <c r="Z186" s="311"/>
      <c r="AA186" s="311"/>
      <c r="AB186" s="311"/>
      <c r="AC186" s="311">
        <f t="shared" si="14"/>
        <v>1</v>
      </c>
      <c r="AD186" s="311" t="s">
        <v>141</v>
      </c>
      <c r="AE186" s="311" t="s">
        <v>67</v>
      </c>
      <c r="AF186" s="569" t="s">
        <v>31</v>
      </c>
      <c r="AG186" s="415">
        <v>0.1</v>
      </c>
      <c r="AH186" s="415">
        <v>0.1</v>
      </c>
      <c r="AI186" s="415">
        <v>0.1</v>
      </c>
      <c r="AJ186" s="374">
        <f t="shared" si="15"/>
        <v>320867.25</v>
      </c>
    </row>
    <row r="187" spans="1:36" s="305" customFormat="1" ht="18" customHeight="1">
      <c r="A187" s="563" t="s">
        <v>160</v>
      </c>
      <c r="B187" s="564" t="s">
        <v>177</v>
      </c>
      <c r="C187" s="564"/>
      <c r="D187" s="564"/>
      <c r="E187" s="311"/>
      <c r="F187" s="366"/>
      <c r="G187" s="311"/>
      <c r="H187" s="311"/>
      <c r="I187" s="311"/>
      <c r="J187" s="311"/>
      <c r="K187" s="311"/>
      <c r="L187" s="311"/>
      <c r="M187" s="311"/>
      <c r="N187" s="367"/>
      <c r="O187" s="367"/>
      <c r="P187" s="367"/>
      <c r="Q187" s="367"/>
      <c r="R187" s="311"/>
      <c r="S187" s="311"/>
      <c r="T187" s="311"/>
      <c r="U187" s="311"/>
      <c r="V187" s="311">
        <v>1</v>
      </c>
      <c r="W187" s="311"/>
      <c r="X187" s="311"/>
      <c r="Y187" s="311"/>
      <c r="Z187" s="311"/>
      <c r="AA187" s="311"/>
      <c r="AB187" s="311"/>
      <c r="AC187" s="311">
        <f t="shared" si="14"/>
        <v>1</v>
      </c>
      <c r="AD187" s="311" t="s">
        <v>141</v>
      </c>
      <c r="AE187" s="311" t="s">
        <v>67</v>
      </c>
      <c r="AF187" s="569" t="s">
        <v>31</v>
      </c>
      <c r="AG187" s="415">
        <v>0.15</v>
      </c>
      <c r="AH187" s="415">
        <v>0.2</v>
      </c>
      <c r="AI187" s="415">
        <v>0.2</v>
      </c>
      <c r="AJ187" s="374">
        <f t="shared" si="15"/>
        <v>320867.25</v>
      </c>
    </row>
    <row r="188" spans="1:36" s="183" customFormat="1" ht="17.25" customHeight="1">
      <c r="A188" s="350" t="s">
        <v>161</v>
      </c>
      <c r="B188" s="347" t="s">
        <v>537</v>
      </c>
      <c r="C188" s="347"/>
      <c r="D188" s="347"/>
      <c r="E188" s="346"/>
      <c r="F188" s="347"/>
      <c r="G188" s="346"/>
      <c r="H188" s="346"/>
      <c r="I188" s="346"/>
      <c r="J188" s="346"/>
      <c r="K188" s="346"/>
      <c r="L188" s="346"/>
      <c r="M188" s="346"/>
      <c r="N188" s="357"/>
      <c r="O188" s="357"/>
      <c r="P188" s="357"/>
      <c r="Q188" s="357"/>
      <c r="R188" s="346"/>
      <c r="S188" s="346"/>
      <c r="T188" s="346"/>
      <c r="U188" s="346"/>
      <c r="V188" s="346"/>
      <c r="W188" s="346">
        <v>1</v>
      </c>
      <c r="X188" s="346"/>
      <c r="Y188" s="346"/>
      <c r="Z188" s="346"/>
      <c r="AA188" s="346"/>
      <c r="AB188" s="346"/>
      <c r="AC188" s="346">
        <f t="shared" si="14"/>
        <v>1</v>
      </c>
      <c r="AD188" s="346" t="s">
        <v>51</v>
      </c>
      <c r="AE188" s="346" t="s">
        <v>67</v>
      </c>
      <c r="AF188" s="350" t="s">
        <v>31</v>
      </c>
      <c r="AG188" s="357">
        <v>0.5</v>
      </c>
      <c r="AH188" s="346">
        <v>0.5</v>
      </c>
      <c r="AI188" s="346">
        <v>0.65</v>
      </c>
      <c r="AJ188" s="358">
        <f t="shared" si="15"/>
        <v>360525</v>
      </c>
    </row>
    <row r="189" spans="1:36" s="183" customFormat="1" ht="26">
      <c r="A189" s="350" t="s">
        <v>36</v>
      </c>
      <c r="B189" s="347" t="s">
        <v>489</v>
      </c>
      <c r="C189" s="347"/>
      <c r="D189" s="347"/>
      <c r="E189" s="346"/>
      <c r="F189" s="347"/>
      <c r="G189" s="346"/>
      <c r="H189" s="346"/>
      <c r="I189" s="346"/>
      <c r="J189" s="346"/>
      <c r="K189" s="346"/>
      <c r="L189" s="346"/>
      <c r="M189" s="346"/>
      <c r="N189" s="357"/>
      <c r="O189" s="357"/>
      <c r="P189" s="357"/>
      <c r="Q189" s="357"/>
      <c r="R189" s="346"/>
      <c r="S189" s="346"/>
      <c r="T189" s="346"/>
      <c r="U189" s="346"/>
      <c r="V189" s="346">
        <v>1</v>
      </c>
      <c r="W189" s="346"/>
      <c r="X189" s="346"/>
      <c r="Y189" s="346"/>
      <c r="Z189" s="346"/>
      <c r="AA189" s="346"/>
      <c r="AB189" s="346"/>
      <c r="AC189" s="346">
        <f t="shared" si="14"/>
        <v>1</v>
      </c>
      <c r="AD189" s="346" t="s">
        <v>51</v>
      </c>
      <c r="AE189" s="346" t="s">
        <v>67</v>
      </c>
      <c r="AF189" s="350" t="s">
        <v>31</v>
      </c>
      <c r="AG189" s="346">
        <v>0.47</v>
      </c>
      <c r="AH189" s="346">
        <v>0.47</v>
      </c>
      <c r="AI189" s="346">
        <v>0.61099999999999999</v>
      </c>
      <c r="AJ189" s="358">
        <f t="shared" si="15"/>
        <v>320867.25</v>
      </c>
    </row>
    <row r="190" spans="1:36" s="183" customFormat="1" ht="17.25" customHeight="1">
      <c r="A190" s="350" t="s">
        <v>37</v>
      </c>
      <c r="B190" s="347" t="s">
        <v>181</v>
      </c>
      <c r="C190" s="347"/>
      <c r="D190" s="347"/>
      <c r="E190" s="346"/>
      <c r="F190" s="347"/>
      <c r="G190" s="346"/>
      <c r="H190" s="346"/>
      <c r="I190" s="346"/>
      <c r="J190" s="346"/>
      <c r="K190" s="346"/>
      <c r="L190" s="346"/>
      <c r="M190" s="346"/>
      <c r="N190" s="357"/>
      <c r="O190" s="357"/>
      <c r="P190" s="357"/>
      <c r="Q190" s="357"/>
      <c r="R190" s="346"/>
      <c r="S190" s="346"/>
      <c r="T190" s="346"/>
      <c r="U190" s="346"/>
      <c r="V190" s="346"/>
      <c r="W190" s="346">
        <v>1</v>
      </c>
      <c r="X190" s="346"/>
      <c r="Y190" s="346"/>
      <c r="Z190" s="346"/>
      <c r="AA190" s="346"/>
      <c r="AB190" s="346"/>
      <c r="AC190" s="346">
        <f t="shared" si="14"/>
        <v>1</v>
      </c>
      <c r="AD190" s="346" t="s">
        <v>1</v>
      </c>
      <c r="AE190" s="346" t="s">
        <v>104</v>
      </c>
      <c r="AF190" s="350" t="s">
        <v>31</v>
      </c>
      <c r="AG190" s="346">
        <v>3.3000000000000002E-2</v>
      </c>
      <c r="AH190" s="346">
        <v>3.3000000000000002E-2</v>
      </c>
      <c r="AI190" s="346">
        <v>3.3000000000000002E-2</v>
      </c>
      <c r="AJ190" s="358">
        <f t="shared" si="15"/>
        <v>360525</v>
      </c>
    </row>
    <row r="191" spans="1:36" ht="18" customHeight="1">
      <c r="A191" s="350" t="s">
        <v>179</v>
      </c>
      <c r="B191" s="347" t="s">
        <v>538</v>
      </c>
      <c r="C191" s="347"/>
      <c r="D191" s="347"/>
      <c r="E191" s="278"/>
      <c r="F191" s="279"/>
      <c r="G191" s="278"/>
      <c r="H191" s="278"/>
      <c r="I191" s="278"/>
      <c r="J191" s="278"/>
      <c r="K191" s="278"/>
      <c r="L191" s="278"/>
      <c r="M191" s="278"/>
      <c r="N191" s="301"/>
      <c r="O191" s="301"/>
      <c r="P191" s="301"/>
      <c r="Q191" s="301"/>
      <c r="R191" s="278"/>
      <c r="S191" s="278"/>
      <c r="T191" s="278"/>
      <c r="U191" s="278"/>
      <c r="V191" s="278"/>
      <c r="W191" s="278"/>
      <c r="X191" s="278"/>
      <c r="Y191" s="278"/>
      <c r="Z191" s="278"/>
      <c r="AA191" s="278"/>
      <c r="AB191" s="278"/>
      <c r="AC191" s="278">
        <f t="shared" si="14"/>
        <v>0</v>
      </c>
      <c r="AD191" s="278"/>
      <c r="AE191" s="278"/>
      <c r="AF191" s="342"/>
      <c r="AG191" s="278"/>
      <c r="AH191" s="278"/>
      <c r="AI191" s="278"/>
      <c r="AJ191" s="351">
        <f t="shared" si="15"/>
        <v>0</v>
      </c>
    </row>
    <row r="192" spans="1:36" s="66" customFormat="1" ht="18" customHeight="1">
      <c r="A192" s="400" t="s">
        <v>217</v>
      </c>
      <c r="B192" s="365" t="s">
        <v>185</v>
      </c>
      <c r="C192" s="365"/>
      <c r="D192" s="365"/>
      <c r="E192" s="424"/>
      <c r="F192" s="425"/>
      <c r="G192" s="424"/>
      <c r="H192" s="424"/>
      <c r="I192" s="424"/>
      <c r="J192" s="424"/>
      <c r="K192" s="424"/>
      <c r="L192" s="424"/>
      <c r="M192" s="424"/>
      <c r="N192" s="426"/>
      <c r="O192" s="426"/>
      <c r="P192" s="426"/>
      <c r="Q192" s="426"/>
      <c r="R192" s="424"/>
      <c r="S192" s="424"/>
      <c r="T192" s="424"/>
      <c r="U192" s="424">
        <v>1</v>
      </c>
      <c r="V192" s="424"/>
      <c r="W192" s="424"/>
      <c r="X192" s="424"/>
      <c r="Y192" s="424"/>
      <c r="Z192" s="424"/>
      <c r="AA192" s="424"/>
      <c r="AB192" s="424"/>
      <c r="AC192" s="424">
        <f t="shared" si="14"/>
        <v>1</v>
      </c>
      <c r="AD192" s="424" t="s">
        <v>444</v>
      </c>
      <c r="AE192" s="424" t="s">
        <v>66</v>
      </c>
      <c r="AF192" s="304" t="s">
        <v>31</v>
      </c>
      <c r="AG192" s="424">
        <v>1.6E-2</v>
      </c>
      <c r="AH192" s="424">
        <v>1.6E-2</v>
      </c>
      <c r="AI192" s="424">
        <v>0.02</v>
      </c>
      <c r="AJ192" s="428">
        <f t="shared" si="15"/>
        <v>281209.5</v>
      </c>
    </row>
    <row r="193" spans="1:36" s="66" customFormat="1" ht="18" customHeight="1">
      <c r="A193" s="400" t="s">
        <v>218</v>
      </c>
      <c r="B193" s="365" t="s">
        <v>186</v>
      </c>
      <c r="C193" s="365"/>
      <c r="D193" s="365"/>
      <c r="E193" s="424"/>
      <c r="F193" s="425"/>
      <c r="G193" s="424"/>
      <c r="H193" s="424"/>
      <c r="I193" s="424"/>
      <c r="J193" s="424"/>
      <c r="K193" s="424"/>
      <c r="L193" s="424"/>
      <c r="M193" s="424"/>
      <c r="N193" s="426"/>
      <c r="O193" s="426"/>
      <c r="P193" s="426"/>
      <c r="Q193" s="426"/>
      <c r="R193" s="424"/>
      <c r="S193" s="424"/>
      <c r="T193" s="424"/>
      <c r="U193" s="424">
        <v>1</v>
      </c>
      <c r="V193" s="424"/>
      <c r="W193" s="424"/>
      <c r="X193" s="424"/>
      <c r="Y193" s="424"/>
      <c r="Z193" s="424"/>
      <c r="AA193" s="424"/>
      <c r="AB193" s="424"/>
      <c r="AC193" s="424">
        <f t="shared" si="14"/>
        <v>1</v>
      </c>
      <c r="AD193" s="424" t="s">
        <v>444</v>
      </c>
      <c r="AE193" s="424" t="s">
        <v>66</v>
      </c>
      <c r="AF193" s="304" t="s">
        <v>31</v>
      </c>
      <c r="AG193" s="424">
        <v>8.0000000000000002E-3</v>
      </c>
      <c r="AH193" s="424">
        <v>8.0000000000000002E-3</v>
      </c>
      <c r="AI193" s="424">
        <v>0.01</v>
      </c>
      <c r="AJ193" s="428">
        <f t="shared" si="15"/>
        <v>281209.5</v>
      </c>
    </row>
    <row r="194" spans="1:36" s="183" customFormat="1" ht="39">
      <c r="A194" s="350" t="s">
        <v>180</v>
      </c>
      <c r="B194" s="347" t="s">
        <v>187</v>
      </c>
      <c r="C194" s="347"/>
      <c r="D194" s="347"/>
      <c r="E194" s="346"/>
      <c r="F194" s="347"/>
      <c r="G194" s="346"/>
      <c r="H194" s="346"/>
      <c r="I194" s="346"/>
      <c r="J194" s="346"/>
      <c r="K194" s="346"/>
      <c r="L194" s="346"/>
      <c r="M194" s="346"/>
      <c r="N194" s="357"/>
      <c r="O194" s="357"/>
      <c r="P194" s="357"/>
      <c r="Q194" s="357"/>
      <c r="R194" s="346"/>
      <c r="S194" s="346"/>
      <c r="T194" s="346"/>
      <c r="U194" s="346">
        <v>1</v>
      </c>
      <c r="V194" s="346"/>
      <c r="W194" s="346"/>
      <c r="X194" s="346"/>
      <c r="Y194" s="346"/>
      <c r="Z194" s="346"/>
      <c r="AA194" s="346"/>
      <c r="AB194" s="346"/>
      <c r="AC194" s="346">
        <f t="shared" si="14"/>
        <v>1</v>
      </c>
      <c r="AD194" s="346" t="s">
        <v>444</v>
      </c>
      <c r="AE194" s="346" t="s">
        <v>66</v>
      </c>
      <c r="AF194" s="350" t="s">
        <v>31</v>
      </c>
      <c r="AG194" s="346">
        <v>4.0000000000000001E-3</v>
      </c>
      <c r="AH194" s="346">
        <v>4.0000000000000001E-3</v>
      </c>
      <c r="AI194" s="346">
        <v>5.0000000000000001E-3</v>
      </c>
      <c r="AJ194" s="358">
        <f t="shared" si="15"/>
        <v>281209.5</v>
      </c>
    </row>
    <row r="195" spans="1:36" s="183" customFormat="1" ht="26">
      <c r="A195" s="350" t="s">
        <v>182</v>
      </c>
      <c r="B195" s="347" t="s">
        <v>188</v>
      </c>
      <c r="C195" s="347"/>
      <c r="D195" s="347"/>
      <c r="E195" s="346"/>
      <c r="F195" s="347"/>
      <c r="G195" s="346"/>
      <c r="H195" s="346"/>
      <c r="I195" s="346"/>
      <c r="J195" s="346"/>
      <c r="K195" s="346"/>
      <c r="L195" s="346"/>
      <c r="M195" s="346"/>
      <c r="N195" s="357"/>
      <c r="O195" s="357"/>
      <c r="P195" s="357"/>
      <c r="Q195" s="357"/>
      <c r="R195" s="346"/>
      <c r="S195" s="346"/>
      <c r="T195" s="346"/>
      <c r="U195" s="346">
        <v>1</v>
      </c>
      <c r="V195" s="346"/>
      <c r="W195" s="346"/>
      <c r="X195" s="346"/>
      <c r="Y195" s="346"/>
      <c r="Z195" s="346"/>
      <c r="AA195" s="346"/>
      <c r="AB195" s="346"/>
      <c r="AC195" s="346">
        <f t="shared" si="14"/>
        <v>1</v>
      </c>
      <c r="AD195" s="346" t="s">
        <v>1</v>
      </c>
      <c r="AE195" s="346" t="s">
        <v>66</v>
      </c>
      <c r="AF195" s="350" t="s">
        <v>31</v>
      </c>
      <c r="AG195" s="346">
        <v>0.01</v>
      </c>
      <c r="AH195" s="346">
        <v>0.01</v>
      </c>
      <c r="AI195" s="346">
        <v>1.2999999999999999E-2</v>
      </c>
      <c r="AJ195" s="358">
        <f t="shared" si="15"/>
        <v>281209.5</v>
      </c>
    </row>
    <row r="196" spans="1:36" ht="39">
      <c r="A196" s="342" t="s">
        <v>189</v>
      </c>
      <c r="B196" s="347" t="s">
        <v>539</v>
      </c>
      <c r="C196" s="347"/>
      <c r="D196" s="347"/>
      <c r="E196" s="278"/>
      <c r="F196" s="279"/>
      <c r="G196" s="278"/>
      <c r="H196" s="278"/>
      <c r="I196" s="278"/>
      <c r="J196" s="278"/>
      <c r="K196" s="278"/>
      <c r="L196" s="278"/>
      <c r="M196" s="278"/>
      <c r="N196" s="301"/>
      <c r="O196" s="301"/>
      <c r="P196" s="301"/>
      <c r="Q196" s="301"/>
      <c r="R196" s="278"/>
      <c r="S196" s="278"/>
      <c r="T196" s="278"/>
      <c r="U196" s="278"/>
      <c r="V196" s="278">
        <v>1</v>
      </c>
      <c r="W196" s="278"/>
      <c r="X196" s="278"/>
      <c r="Y196" s="278"/>
      <c r="Z196" s="278"/>
      <c r="AA196" s="278"/>
      <c r="AB196" s="278"/>
      <c r="AC196" s="278">
        <f t="shared" si="14"/>
        <v>1</v>
      </c>
      <c r="AD196" s="278" t="s">
        <v>51</v>
      </c>
      <c r="AE196" s="278" t="s">
        <v>67</v>
      </c>
      <c r="AF196" s="342" t="s">
        <v>31</v>
      </c>
      <c r="AG196" s="278">
        <v>0.2</v>
      </c>
      <c r="AH196" s="278">
        <v>0.2</v>
      </c>
      <c r="AI196" s="278">
        <v>0.26</v>
      </c>
      <c r="AJ196" s="351">
        <f t="shared" si="15"/>
        <v>320867.25</v>
      </c>
    </row>
    <row r="197" spans="1:36" ht="52">
      <c r="A197" s="342" t="s">
        <v>190</v>
      </c>
      <c r="B197" s="347" t="s">
        <v>523</v>
      </c>
      <c r="C197" s="347"/>
      <c r="D197" s="347"/>
      <c r="E197" s="278"/>
      <c r="F197" s="279"/>
      <c r="G197" s="278"/>
      <c r="H197" s="278"/>
      <c r="I197" s="278"/>
      <c r="J197" s="278"/>
      <c r="K197" s="278"/>
      <c r="L197" s="278"/>
      <c r="M197" s="278"/>
      <c r="N197" s="301"/>
      <c r="O197" s="301"/>
      <c r="P197" s="301"/>
      <c r="Q197" s="301"/>
      <c r="R197" s="278"/>
      <c r="S197" s="278"/>
      <c r="T197" s="278"/>
      <c r="U197" s="278"/>
      <c r="V197" s="278">
        <v>1</v>
      </c>
      <c r="W197" s="278"/>
      <c r="X197" s="278"/>
      <c r="Y197" s="278"/>
      <c r="Z197" s="278"/>
      <c r="AA197" s="278"/>
      <c r="AB197" s="278"/>
      <c r="AC197" s="278">
        <f t="shared" si="14"/>
        <v>1</v>
      </c>
      <c r="AD197" s="278" t="s">
        <v>51</v>
      </c>
      <c r="AE197" s="278" t="s">
        <v>67</v>
      </c>
      <c r="AF197" s="342" t="s">
        <v>31</v>
      </c>
      <c r="AG197" s="278">
        <v>0.2</v>
      </c>
      <c r="AH197" s="278">
        <v>0.2</v>
      </c>
      <c r="AI197" s="278">
        <v>0.26</v>
      </c>
      <c r="AJ197" s="351">
        <f t="shared" si="15"/>
        <v>320867.25</v>
      </c>
    </row>
    <row r="198" spans="1:36" ht="22.15" customHeight="1">
      <c r="A198" s="65" t="s">
        <v>126</v>
      </c>
      <c r="B198" s="286" t="s">
        <v>246</v>
      </c>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F198" s="290"/>
      <c r="AG198" s="46"/>
      <c r="AH198" s="59"/>
      <c r="AI198" s="59"/>
      <c r="AJ198" s="181"/>
    </row>
    <row r="199" spans="1:36" ht="25.5" customHeight="1">
      <c r="A199" s="471" t="s">
        <v>32</v>
      </c>
      <c r="B199" s="876" t="s">
        <v>855</v>
      </c>
      <c r="C199" s="877"/>
      <c r="D199" s="877"/>
      <c r="E199" s="877"/>
      <c r="F199" s="877"/>
      <c r="G199" s="877"/>
      <c r="H199" s="877"/>
      <c r="I199" s="877"/>
      <c r="J199" s="877"/>
      <c r="K199" s="877"/>
      <c r="L199" s="877"/>
      <c r="M199" s="877"/>
      <c r="N199" s="877"/>
      <c r="O199" s="877"/>
      <c r="P199" s="877"/>
      <c r="Q199" s="877"/>
      <c r="R199" s="877"/>
      <c r="S199" s="877"/>
      <c r="T199" s="877"/>
      <c r="U199" s="877"/>
      <c r="V199" s="877"/>
      <c r="W199" s="877"/>
      <c r="X199" s="877"/>
      <c r="Y199" s="877"/>
      <c r="Z199" s="877"/>
      <c r="AA199" s="877"/>
      <c r="AB199" s="877"/>
      <c r="AC199" s="877"/>
      <c r="AD199" s="877"/>
      <c r="AE199" s="877"/>
      <c r="AF199" s="878"/>
      <c r="AG199" s="44"/>
      <c r="AH199" s="58"/>
      <c r="AI199" s="58"/>
      <c r="AJ199" s="67"/>
    </row>
    <row r="200" spans="1:36" ht="30" customHeight="1">
      <c r="A200" s="471" t="s">
        <v>33</v>
      </c>
      <c r="B200" s="876" t="s">
        <v>857</v>
      </c>
      <c r="C200" s="877"/>
      <c r="D200" s="877"/>
      <c r="E200" s="877"/>
      <c r="F200" s="877"/>
      <c r="G200" s="877"/>
      <c r="H200" s="877"/>
      <c r="I200" s="877"/>
      <c r="J200" s="877"/>
      <c r="K200" s="877"/>
      <c r="L200" s="877"/>
      <c r="M200" s="877"/>
      <c r="N200" s="877"/>
      <c r="O200" s="877"/>
      <c r="P200" s="877"/>
      <c r="Q200" s="877"/>
      <c r="R200" s="877"/>
      <c r="S200" s="877"/>
      <c r="T200" s="877"/>
      <c r="U200" s="877"/>
      <c r="V200" s="877"/>
      <c r="W200" s="877"/>
      <c r="X200" s="877"/>
      <c r="Y200" s="877"/>
      <c r="Z200" s="877"/>
      <c r="AA200" s="877"/>
      <c r="AB200" s="877"/>
      <c r="AC200" s="877"/>
      <c r="AD200" s="877"/>
      <c r="AE200" s="877"/>
      <c r="AF200" s="878"/>
      <c r="AG200" s="44"/>
      <c r="AH200" s="58"/>
      <c r="AI200" s="58"/>
      <c r="AJ200" s="67"/>
    </row>
    <row r="201" spans="1:36" ht="26.25" customHeight="1">
      <c r="A201" s="471" t="s">
        <v>34</v>
      </c>
      <c r="B201" s="876" t="s">
        <v>858</v>
      </c>
      <c r="C201" s="877"/>
      <c r="D201" s="877"/>
      <c r="E201" s="877"/>
      <c r="F201" s="877"/>
      <c r="G201" s="877"/>
      <c r="H201" s="877"/>
      <c r="I201" s="877"/>
      <c r="J201" s="877"/>
      <c r="K201" s="877"/>
      <c r="L201" s="877"/>
      <c r="M201" s="877"/>
      <c r="N201" s="877"/>
      <c r="O201" s="877"/>
      <c r="P201" s="877"/>
      <c r="Q201" s="877"/>
      <c r="R201" s="877"/>
      <c r="S201" s="877"/>
      <c r="T201" s="877"/>
      <c r="U201" s="877"/>
      <c r="V201" s="877"/>
      <c r="W201" s="877"/>
      <c r="X201" s="877"/>
      <c r="Y201" s="877"/>
      <c r="Z201" s="877"/>
      <c r="AA201" s="877"/>
      <c r="AB201" s="877"/>
      <c r="AC201" s="877"/>
      <c r="AD201" s="877"/>
      <c r="AE201" s="877"/>
      <c r="AF201" s="878"/>
      <c r="AG201" s="44"/>
      <c r="AH201" s="58"/>
      <c r="AI201" s="58"/>
      <c r="AJ201" s="67"/>
    </row>
    <row r="202" spans="1:36" s="60" customFormat="1" ht="27" customHeight="1">
      <c r="A202" s="596" t="s">
        <v>540</v>
      </c>
      <c r="B202" s="913" t="s">
        <v>687</v>
      </c>
      <c r="C202" s="913"/>
      <c r="D202" s="913"/>
      <c r="E202" s="913"/>
      <c r="F202" s="913"/>
      <c r="G202" s="913"/>
      <c r="H202" s="913"/>
      <c r="I202" s="913"/>
      <c r="J202" s="913"/>
      <c r="K202" s="913"/>
      <c r="L202" s="913"/>
      <c r="M202" s="913"/>
      <c r="N202" s="913"/>
      <c r="O202" s="913"/>
      <c r="P202" s="913"/>
      <c r="Q202" s="913"/>
      <c r="R202" s="913"/>
      <c r="S202" s="913"/>
      <c r="T202" s="913"/>
      <c r="U202" s="913"/>
      <c r="V202" s="913"/>
      <c r="W202" s="913"/>
      <c r="X202" s="913"/>
      <c r="Y202" s="913"/>
      <c r="Z202" s="913"/>
      <c r="AA202" s="913"/>
      <c r="AB202" s="913"/>
      <c r="AC202" s="913"/>
      <c r="AD202" s="913"/>
      <c r="AE202" s="913"/>
      <c r="AF202" s="913"/>
      <c r="AG202" s="913"/>
      <c r="AH202" s="817" t="s">
        <v>303</v>
      </c>
    </row>
    <row r="203" spans="1:36" s="38" customFormat="1" ht="22.15" customHeight="1">
      <c r="A203" s="597" t="s">
        <v>127</v>
      </c>
      <c r="B203" s="890" t="s">
        <v>658</v>
      </c>
      <c r="C203" s="890"/>
      <c r="D203" s="890"/>
      <c r="E203" s="890"/>
      <c r="F203" s="890"/>
      <c r="G203" s="890"/>
      <c r="H203" s="890"/>
      <c r="I203" s="890"/>
      <c r="J203" s="890"/>
      <c r="K203" s="890"/>
      <c r="L203" s="890"/>
      <c r="M203" s="890"/>
      <c r="N203" s="890"/>
      <c r="O203" s="890"/>
      <c r="P203" s="890"/>
      <c r="Q203" s="890"/>
      <c r="R203" s="890"/>
      <c r="S203" s="890"/>
      <c r="T203" s="890"/>
      <c r="U203" s="890"/>
      <c r="V203" s="890"/>
      <c r="W203" s="890"/>
      <c r="X203" s="890"/>
      <c r="Y203" s="890"/>
      <c r="Z203" s="890"/>
      <c r="AA203" s="890"/>
      <c r="AB203" s="890"/>
      <c r="AC203" s="890"/>
      <c r="AD203" s="890"/>
      <c r="AE203" s="890"/>
      <c r="AF203" s="890"/>
      <c r="AG203" s="890"/>
      <c r="AH203" s="600"/>
    </row>
    <row r="204" spans="1:36" s="183" customFormat="1" ht="23.25" customHeight="1">
      <c r="A204" s="350" t="s">
        <v>32</v>
      </c>
      <c r="B204" s="347" t="s">
        <v>144</v>
      </c>
      <c r="C204" s="347"/>
      <c r="D204" s="347"/>
      <c r="E204" s="346"/>
      <c r="F204" s="347"/>
      <c r="G204" s="346"/>
      <c r="H204" s="346"/>
      <c r="I204" s="346"/>
      <c r="J204" s="346"/>
      <c r="K204" s="346"/>
      <c r="L204" s="346"/>
      <c r="M204" s="346"/>
      <c r="N204" s="357"/>
      <c r="O204" s="357"/>
      <c r="P204" s="357"/>
      <c r="Q204" s="357"/>
      <c r="R204" s="346"/>
      <c r="S204" s="346"/>
      <c r="T204" s="346"/>
      <c r="U204" s="346"/>
      <c r="V204" s="346"/>
      <c r="W204" s="346"/>
      <c r="X204" s="346"/>
      <c r="Y204" s="346"/>
      <c r="Z204" s="346"/>
      <c r="AA204" s="346"/>
      <c r="AB204" s="346"/>
      <c r="AC204" s="346">
        <f t="shared" ref="AC204:AC250" si="16">SUM(E204:AB204)</f>
        <v>0</v>
      </c>
      <c r="AD204" s="347"/>
      <c r="AE204" s="347"/>
      <c r="AF204" s="346"/>
      <c r="AG204" s="347"/>
      <c r="AH204" s="358">
        <f t="shared" ref="AH204:AH222" si="17">(E204*E$6+F204*F$6+G204*G$6+H204*H$6+I204*I$6+J204*J$6+K204*K$6+L204*L$6+M204*M$6+N204*N$6+O204*O$6+P204*P$6+Q204*Q$6+R204*R$6+S204*S$6+T204*T$6+U204*U$6+V204*V$6+W204*W$6+X204*X$6+Y204*Y$6+Z204*Z$6+AA204*AA$6+AB204*AB$6)</f>
        <v>0</v>
      </c>
    </row>
    <row r="205" spans="1:36" s="183" customFormat="1">
      <c r="A205" s="350" t="s">
        <v>132</v>
      </c>
      <c r="B205" s="347" t="s">
        <v>582</v>
      </c>
      <c r="C205" s="347"/>
      <c r="D205" s="347"/>
      <c r="E205" s="346"/>
      <c r="F205" s="347"/>
      <c r="G205" s="346"/>
      <c r="H205" s="346"/>
      <c r="I205" s="346"/>
      <c r="J205" s="346"/>
      <c r="K205" s="346"/>
      <c r="L205" s="346">
        <v>1</v>
      </c>
      <c r="M205" s="346"/>
      <c r="N205" s="357"/>
      <c r="O205" s="357"/>
      <c r="P205" s="357"/>
      <c r="Q205" s="357"/>
      <c r="R205" s="346"/>
      <c r="S205" s="346"/>
      <c r="T205" s="346"/>
      <c r="U205" s="346"/>
      <c r="V205" s="346">
        <v>1</v>
      </c>
      <c r="W205" s="346"/>
      <c r="X205" s="346"/>
      <c r="Y205" s="346"/>
      <c r="Z205" s="346"/>
      <c r="AA205" s="346"/>
      <c r="AB205" s="346"/>
      <c r="AC205" s="346">
        <f t="shared" si="16"/>
        <v>2</v>
      </c>
      <c r="AD205" s="901" t="s">
        <v>138</v>
      </c>
      <c r="AE205" s="346" t="s">
        <v>438</v>
      </c>
      <c r="AF205" s="350" t="s">
        <v>31</v>
      </c>
      <c r="AG205" s="346">
        <v>2</v>
      </c>
      <c r="AH205" s="358">
        <f t="shared" si="17"/>
        <v>616497.75</v>
      </c>
    </row>
    <row r="206" spans="1:36" s="183" customFormat="1" ht="27" customHeight="1">
      <c r="A206" s="350"/>
      <c r="B206" s="347"/>
      <c r="C206" s="347"/>
      <c r="D206" s="347"/>
      <c r="E206" s="346">
        <v>1</v>
      </c>
      <c r="F206" s="347"/>
      <c r="G206" s="346"/>
      <c r="H206" s="346"/>
      <c r="I206" s="346"/>
      <c r="J206" s="346"/>
      <c r="K206" s="346"/>
      <c r="L206" s="346"/>
      <c r="M206" s="346"/>
      <c r="N206" s="357"/>
      <c r="O206" s="357"/>
      <c r="P206" s="357"/>
      <c r="Q206" s="357"/>
      <c r="R206" s="346"/>
      <c r="S206" s="346"/>
      <c r="T206" s="346"/>
      <c r="U206" s="346"/>
      <c r="V206" s="346"/>
      <c r="W206" s="346"/>
      <c r="X206" s="346"/>
      <c r="Y206" s="346"/>
      <c r="Z206" s="346"/>
      <c r="AA206" s="346"/>
      <c r="AB206" s="346"/>
      <c r="AC206" s="346">
        <f t="shared" si="16"/>
        <v>1</v>
      </c>
      <c r="AD206" s="903"/>
      <c r="AE206" s="346" t="s">
        <v>197</v>
      </c>
      <c r="AF206" s="350"/>
      <c r="AG206" s="346">
        <v>2</v>
      </c>
      <c r="AH206" s="358">
        <f t="shared" si="17"/>
        <v>151259</v>
      </c>
    </row>
    <row r="207" spans="1:36" s="183" customFormat="1" ht="39">
      <c r="A207" s="350" t="s">
        <v>133</v>
      </c>
      <c r="B207" s="347" t="s">
        <v>583</v>
      </c>
      <c r="C207" s="347"/>
      <c r="D207" s="347"/>
      <c r="E207" s="346"/>
      <c r="F207" s="347"/>
      <c r="G207" s="346"/>
      <c r="H207" s="346"/>
      <c r="I207" s="346"/>
      <c r="J207" s="346"/>
      <c r="K207" s="346"/>
      <c r="L207" s="346">
        <v>1</v>
      </c>
      <c r="M207" s="346"/>
      <c r="N207" s="357"/>
      <c r="O207" s="357"/>
      <c r="P207" s="357"/>
      <c r="Q207" s="357"/>
      <c r="R207" s="346"/>
      <c r="S207" s="346"/>
      <c r="T207" s="346"/>
      <c r="U207" s="346"/>
      <c r="V207" s="346">
        <v>1</v>
      </c>
      <c r="W207" s="346">
        <v>1</v>
      </c>
      <c r="X207" s="346"/>
      <c r="Y207" s="346"/>
      <c r="Z207" s="346"/>
      <c r="AA207" s="346"/>
      <c r="AB207" s="346"/>
      <c r="AC207" s="346">
        <f t="shared" si="16"/>
        <v>3</v>
      </c>
      <c r="AD207" s="346" t="s">
        <v>139</v>
      </c>
      <c r="AE207" s="346" t="s">
        <v>439</v>
      </c>
      <c r="AF207" s="350" t="s">
        <v>31</v>
      </c>
      <c r="AG207" s="346">
        <v>16</v>
      </c>
      <c r="AH207" s="358">
        <f t="shared" si="17"/>
        <v>977022.75</v>
      </c>
    </row>
    <row r="208" spans="1:36" s="183" customFormat="1" ht="26">
      <c r="A208" s="350" t="s">
        <v>145</v>
      </c>
      <c r="B208" s="347" t="s">
        <v>584</v>
      </c>
      <c r="C208" s="347"/>
      <c r="D208" s="347"/>
      <c r="E208" s="346"/>
      <c r="F208" s="347"/>
      <c r="G208" s="346"/>
      <c r="H208" s="346"/>
      <c r="I208" s="346"/>
      <c r="J208" s="346"/>
      <c r="K208" s="346"/>
      <c r="L208" s="346"/>
      <c r="M208" s="346"/>
      <c r="N208" s="357"/>
      <c r="O208" s="357"/>
      <c r="P208" s="357"/>
      <c r="Q208" s="357"/>
      <c r="R208" s="346"/>
      <c r="S208" s="346"/>
      <c r="T208" s="346"/>
      <c r="U208" s="346"/>
      <c r="V208" s="346"/>
      <c r="W208" s="346">
        <v>1</v>
      </c>
      <c r="X208" s="346"/>
      <c r="Y208" s="346"/>
      <c r="Z208" s="346"/>
      <c r="AA208" s="346"/>
      <c r="AB208" s="346"/>
      <c r="AC208" s="346">
        <f t="shared" si="16"/>
        <v>1</v>
      </c>
      <c r="AD208" s="901" t="s">
        <v>140</v>
      </c>
      <c r="AE208" s="346" t="s">
        <v>104</v>
      </c>
      <c r="AF208" s="350" t="s">
        <v>31</v>
      </c>
      <c r="AG208" s="346">
        <v>2.5</v>
      </c>
      <c r="AH208" s="358">
        <f t="shared" si="17"/>
        <v>360525</v>
      </c>
    </row>
    <row r="209" spans="1:34">
      <c r="A209" s="342"/>
      <c r="B209" s="279"/>
      <c r="C209" s="279"/>
      <c r="D209" s="279"/>
      <c r="E209" s="278">
        <v>1</v>
      </c>
      <c r="F209" s="279"/>
      <c r="G209" s="278"/>
      <c r="H209" s="278"/>
      <c r="I209" s="278"/>
      <c r="J209" s="278"/>
      <c r="K209" s="278"/>
      <c r="L209" s="278"/>
      <c r="M209" s="278"/>
      <c r="N209" s="301"/>
      <c r="O209" s="301"/>
      <c r="P209" s="301"/>
      <c r="Q209" s="301"/>
      <c r="R209" s="278"/>
      <c r="S209" s="278"/>
      <c r="T209" s="278"/>
      <c r="U209" s="278"/>
      <c r="V209" s="278"/>
      <c r="W209" s="278"/>
      <c r="X209" s="278"/>
      <c r="Y209" s="278"/>
      <c r="Z209" s="278"/>
      <c r="AA209" s="278"/>
      <c r="AB209" s="278"/>
      <c r="AC209" s="346">
        <f t="shared" si="16"/>
        <v>1</v>
      </c>
      <c r="AD209" s="903"/>
      <c r="AE209" s="278" t="s">
        <v>197</v>
      </c>
      <c r="AF209" s="342"/>
      <c r="AG209" s="278">
        <v>2.5</v>
      </c>
      <c r="AH209" s="351">
        <f t="shared" si="17"/>
        <v>151259</v>
      </c>
    </row>
    <row r="210" spans="1:34" s="183" customFormat="1" ht="26">
      <c r="A210" s="350" t="s">
        <v>146</v>
      </c>
      <c r="B210" s="347" t="s">
        <v>220</v>
      </c>
      <c r="C210" s="347"/>
      <c r="D210" s="347"/>
      <c r="E210" s="346"/>
      <c r="F210" s="347"/>
      <c r="G210" s="346"/>
      <c r="H210" s="346"/>
      <c r="I210" s="346"/>
      <c r="J210" s="346"/>
      <c r="K210" s="346"/>
      <c r="L210" s="346"/>
      <c r="M210" s="346"/>
      <c r="N210" s="357"/>
      <c r="O210" s="357"/>
      <c r="P210" s="357"/>
      <c r="Q210" s="357"/>
      <c r="R210" s="346"/>
      <c r="S210" s="346"/>
      <c r="T210" s="346"/>
      <c r="U210" s="346"/>
      <c r="V210" s="346"/>
      <c r="W210" s="346"/>
      <c r="X210" s="346"/>
      <c r="Y210" s="346"/>
      <c r="Z210" s="346"/>
      <c r="AA210" s="346"/>
      <c r="AB210" s="346"/>
      <c r="AC210" s="346">
        <f t="shared" si="16"/>
        <v>0</v>
      </c>
      <c r="AD210" s="346"/>
      <c r="AE210" s="346"/>
      <c r="AF210" s="350"/>
      <c r="AG210" s="346"/>
      <c r="AH210" s="358">
        <f t="shared" si="17"/>
        <v>0</v>
      </c>
    </row>
    <row r="211" spans="1:34" s="305" customFormat="1">
      <c r="A211" s="400" t="s">
        <v>148</v>
      </c>
      <c r="B211" s="365" t="s">
        <v>149</v>
      </c>
      <c r="C211" s="365"/>
      <c r="D211" s="365"/>
      <c r="E211" s="346"/>
      <c r="F211" s="347"/>
      <c r="G211" s="346"/>
      <c r="H211" s="346"/>
      <c r="I211" s="346"/>
      <c r="J211" s="346"/>
      <c r="K211" s="346"/>
      <c r="L211" s="346"/>
      <c r="M211" s="346"/>
      <c r="N211" s="357"/>
      <c r="O211" s="357"/>
      <c r="P211" s="357"/>
      <c r="Q211" s="357"/>
      <c r="R211" s="346"/>
      <c r="S211" s="346"/>
      <c r="T211" s="346"/>
      <c r="U211" s="346"/>
      <c r="V211" s="346">
        <v>1</v>
      </c>
      <c r="W211" s="346"/>
      <c r="X211" s="346"/>
      <c r="Y211" s="346"/>
      <c r="Z211" s="346"/>
      <c r="AA211" s="346"/>
      <c r="AB211" s="346"/>
      <c r="AC211" s="346">
        <f t="shared" si="16"/>
        <v>1</v>
      </c>
      <c r="AD211" s="346" t="s">
        <v>51</v>
      </c>
      <c r="AE211" s="346" t="s">
        <v>67</v>
      </c>
      <c r="AF211" s="350" t="s">
        <v>31</v>
      </c>
      <c r="AG211" s="346">
        <v>0.05</v>
      </c>
      <c r="AH211" s="358">
        <f t="shared" si="17"/>
        <v>320867.25</v>
      </c>
    </row>
    <row r="212" spans="1:34" s="305" customFormat="1">
      <c r="A212" s="563" t="s">
        <v>150</v>
      </c>
      <c r="B212" s="564" t="s">
        <v>151</v>
      </c>
      <c r="C212" s="564"/>
      <c r="D212" s="564"/>
      <c r="E212" s="311"/>
      <c r="F212" s="366"/>
      <c r="G212" s="311"/>
      <c r="H212" s="311"/>
      <c r="I212" s="311"/>
      <c r="J212" s="311"/>
      <c r="K212" s="311"/>
      <c r="L212" s="311"/>
      <c r="M212" s="311"/>
      <c r="N212" s="367"/>
      <c r="O212" s="367"/>
      <c r="P212" s="367"/>
      <c r="Q212" s="367"/>
      <c r="R212" s="311"/>
      <c r="S212" s="311"/>
      <c r="T212" s="311"/>
      <c r="U212" s="311"/>
      <c r="V212" s="311">
        <v>1</v>
      </c>
      <c r="W212" s="311"/>
      <c r="X212" s="311"/>
      <c r="Y212" s="311"/>
      <c r="Z212" s="311"/>
      <c r="AA212" s="311"/>
      <c r="AB212" s="311"/>
      <c r="AC212" s="311">
        <f t="shared" si="16"/>
        <v>1</v>
      </c>
      <c r="AD212" s="311" t="s">
        <v>51</v>
      </c>
      <c r="AE212" s="311" t="s">
        <v>67</v>
      </c>
      <c r="AF212" s="569" t="s">
        <v>31</v>
      </c>
      <c r="AG212" s="311">
        <v>2.5000000000000001E-2</v>
      </c>
      <c r="AH212" s="374">
        <f t="shared" si="17"/>
        <v>320867.25</v>
      </c>
    </row>
    <row r="213" spans="1:34" s="183" customFormat="1" ht="52">
      <c r="A213" s="569" t="s">
        <v>33</v>
      </c>
      <c r="B213" s="366" t="s">
        <v>573</v>
      </c>
      <c r="C213" s="366"/>
      <c r="D213" s="366"/>
      <c r="E213" s="311"/>
      <c r="F213" s="366"/>
      <c r="G213" s="311"/>
      <c r="H213" s="311"/>
      <c r="I213" s="311"/>
      <c r="J213" s="311"/>
      <c r="K213" s="311"/>
      <c r="L213" s="311"/>
      <c r="M213" s="311"/>
      <c r="N213" s="367"/>
      <c r="O213" s="367"/>
      <c r="P213" s="367"/>
      <c r="Q213" s="367"/>
      <c r="R213" s="311"/>
      <c r="S213" s="311"/>
      <c r="T213" s="311"/>
      <c r="U213" s="311"/>
      <c r="V213" s="311">
        <v>1</v>
      </c>
      <c r="W213" s="311"/>
      <c r="X213" s="311"/>
      <c r="Y213" s="311"/>
      <c r="Z213" s="311"/>
      <c r="AA213" s="311"/>
      <c r="AB213" s="311"/>
      <c r="AC213" s="311">
        <f t="shared" si="16"/>
        <v>1</v>
      </c>
      <c r="AD213" s="311" t="s">
        <v>51</v>
      </c>
      <c r="AE213" s="311" t="s">
        <v>67</v>
      </c>
      <c r="AF213" s="569" t="s">
        <v>31</v>
      </c>
      <c r="AG213" s="311">
        <v>0.05</v>
      </c>
      <c r="AH213" s="374">
        <f t="shared" si="17"/>
        <v>320867.25</v>
      </c>
    </row>
    <row r="214" spans="1:34" s="183" customFormat="1" ht="26">
      <c r="A214" s="569" t="s">
        <v>34</v>
      </c>
      <c r="B214" s="366" t="s">
        <v>153</v>
      </c>
      <c r="C214" s="366"/>
      <c r="D214" s="366"/>
      <c r="E214" s="311"/>
      <c r="F214" s="366"/>
      <c r="G214" s="311"/>
      <c r="H214" s="311"/>
      <c r="I214" s="311"/>
      <c r="J214" s="311"/>
      <c r="K214" s="311"/>
      <c r="L214" s="311"/>
      <c r="M214" s="311"/>
      <c r="N214" s="367"/>
      <c r="O214" s="367"/>
      <c r="P214" s="367"/>
      <c r="Q214" s="367"/>
      <c r="R214" s="311"/>
      <c r="S214" s="311"/>
      <c r="T214" s="311"/>
      <c r="U214" s="311"/>
      <c r="V214" s="311"/>
      <c r="W214" s="311">
        <v>1</v>
      </c>
      <c r="X214" s="311"/>
      <c r="Y214" s="311"/>
      <c r="Z214" s="311"/>
      <c r="AA214" s="311"/>
      <c r="AB214" s="311"/>
      <c r="AC214" s="311">
        <f t="shared" si="16"/>
        <v>1</v>
      </c>
      <c r="AD214" s="311" t="s">
        <v>1</v>
      </c>
      <c r="AE214" s="311" t="s">
        <v>104</v>
      </c>
      <c r="AF214" s="569" t="s">
        <v>31</v>
      </c>
      <c r="AG214" s="311">
        <v>0.107</v>
      </c>
      <c r="AH214" s="374">
        <f t="shared" si="17"/>
        <v>360525</v>
      </c>
    </row>
    <row r="215" spans="1:34" s="183" customFormat="1" ht="26">
      <c r="A215" s="569" t="s">
        <v>154</v>
      </c>
      <c r="B215" s="366" t="s">
        <v>184</v>
      </c>
      <c r="C215" s="366"/>
      <c r="D215" s="366"/>
      <c r="E215" s="311"/>
      <c r="F215" s="366"/>
      <c r="G215" s="311"/>
      <c r="H215" s="311"/>
      <c r="I215" s="311"/>
      <c r="J215" s="311"/>
      <c r="K215" s="311"/>
      <c r="L215" s="311"/>
      <c r="M215" s="311"/>
      <c r="N215" s="367"/>
      <c r="O215" s="367"/>
      <c r="P215" s="367"/>
      <c r="Q215" s="367"/>
      <c r="R215" s="311"/>
      <c r="S215" s="311"/>
      <c r="T215" s="311"/>
      <c r="U215" s="311"/>
      <c r="V215" s="311"/>
      <c r="W215" s="311"/>
      <c r="X215" s="311"/>
      <c r="Y215" s="311"/>
      <c r="Z215" s="311"/>
      <c r="AA215" s="311"/>
      <c r="AB215" s="311"/>
      <c r="AC215" s="311">
        <f t="shared" si="16"/>
        <v>0</v>
      </c>
      <c r="AD215" s="311"/>
      <c r="AE215" s="311"/>
      <c r="AF215" s="569"/>
      <c r="AG215" s="311"/>
      <c r="AH215" s="374">
        <f t="shared" si="17"/>
        <v>0</v>
      </c>
    </row>
    <row r="216" spans="1:34" s="183" customFormat="1">
      <c r="A216" s="569" t="s">
        <v>213</v>
      </c>
      <c r="B216" s="366" t="s">
        <v>185</v>
      </c>
      <c r="C216" s="366"/>
      <c r="D216" s="366"/>
      <c r="E216" s="311"/>
      <c r="F216" s="366"/>
      <c r="G216" s="311"/>
      <c r="H216" s="311"/>
      <c r="I216" s="311"/>
      <c r="J216" s="311"/>
      <c r="K216" s="311"/>
      <c r="L216" s="311"/>
      <c r="M216" s="311"/>
      <c r="N216" s="367"/>
      <c r="O216" s="367"/>
      <c r="P216" s="367"/>
      <c r="Q216" s="367"/>
      <c r="R216" s="311"/>
      <c r="S216" s="311"/>
      <c r="T216" s="311"/>
      <c r="U216" s="311">
        <v>1</v>
      </c>
      <c r="V216" s="311"/>
      <c r="W216" s="311"/>
      <c r="X216" s="311"/>
      <c r="Y216" s="311"/>
      <c r="Z216" s="311"/>
      <c r="AA216" s="311"/>
      <c r="AB216" s="311"/>
      <c r="AC216" s="311">
        <f t="shared" si="16"/>
        <v>1</v>
      </c>
      <c r="AD216" s="311" t="s">
        <v>444</v>
      </c>
      <c r="AE216" s="311" t="s">
        <v>66</v>
      </c>
      <c r="AF216" s="569" t="s">
        <v>31</v>
      </c>
      <c r="AG216" s="311">
        <v>1.6E-2</v>
      </c>
      <c r="AH216" s="374">
        <f t="shared" si="17"/>
        <v>281209.5</v>
      </c>
    </row>
    <row r="217" spans="1:34" s="183" customFormat="1">
      <c r="A217" s="569" t="s">
        <v>214</v>
      </c>
      <c r="B217" s="366" t="s">
        <v>186</v>
      </c>
      <c r="C217" s="366"/>
      <c r="D217" s="366"/>
      <c r="E217" s="311"/>
      <c r="F217" s="366"/>
      <c r="G217" s="311"/>
      <c r="H217" s="311"/>
      <c r="I217" s="311"/>
      <c r="J217" s="311"/>
      <c r="K217" s="311"/>
      <c r="L217" s="311"/>
      <c r="M217" s="311"/>
      <c r="N217" s="367"/>
      <c r="O217" s="367"/>
      <c r="P217" s="367"/>
      <c r="Q217" s="367"/>
      <c r="R217" s="311"/>
      <c r="S217" s="311"/>
      <c r="T217" s="311"/>
      <c r="U217" s="311">
        <v>1</v>
      </c>
      <c r="V217" s="311"/>
      <c r="W217" s="311"/>
      <c r="X217" s="311"/>
      <c r="Y217" s="311"/>
      <c r="Z217" s="311"/>
      <c r="AA217" s="311"/>
      <c r="AB217" s="311"/>
      <c r="AC217" s="311">
        <f t="shared" si="16"/>
        <v>1</v>
      </c>
      <c r="AD217" s="311" t="s">
        <v>444</v>
      </c>
      <c r="AE217" s="311" t="s">
        <v>66</v>
      </c>
      <c r="AF217" s="569" t="s">
        <v>31</v>
      </c>
      <c r="AG217" s="311">
        <v>8.0000000000000002E-3</v>
      </c>
      <c r="AH217" s="374">
        <f t="shared" si="17"/>
        <v>281209.5</v>
      </c>
    </row>
    <row r="218" spans="1:34" s="231" customFormat="1" ht="39">
      <c r="A218" s="569" t="s">
        <v>155</v>
      </c>
      <c r="B218" s="366" t="s">
        <v>187</v>
      </c>
      <c r="C218" s="366"/>
      <c r="D218" s="366"/>
      <c r="E218" s="311"/>
      <c r="F218" s="366"/>
      <c r="G218" s="311"/>
      <c r="H218" s="311"/>
      <c r="I218" s="311"/>
      <c r="J218" s="311"/>
      <c r="K218" s="311"/>
      <c r="L218" s="311"/>
      <c r="M218" s="311"/>
      <c r="N218" s="367"/>
      <c r="O218" s="367"/>
      <c r="P218" s="367"/>
      <c r="Q218" s="367"/>
      <c r="R218" s="311"/>
      <c r="S218" s="311"/>
      <c r="T218" s="311"/>
      <c r="U218" s="311">
        <v>1</v>
      </c>
      <c r="V218" s="311"/>
      <c r="W218" s="311"/>
      <c r="X218" s="311"/>
      <c r="Y218" s="311"/>
      <c r="Z218" s="311"/>
      <c r="AA218" s="311"/>
      <c r="AB218" s="311"/>
      <c r="AC218" s="311">
        <f t="shared" si="16"/>
        <v>1</v>
      </c>
      <c r="AD218" s="311" t="s">
        <v>444</v>
      </c>
      <c r="AE218" s="311" t="s">
        <v>66</v>
      </c>
      <c r="AF218" s="569" t="s">
        <v>31</v>
      </c>
      <c r="AG218" s="311">
        <v>4.0000000000000001E-3</v>
      </c>
      <c r="AH218" s="374">
        <f t="shared" si="17"/>
        <v>281209.5</v>
      </c>
    </row>
    <row r="219" spans="1:34" s="229" customFormat="1" ht="14">
      <c r="A219" s="569">
        <v>6</v>
      </c>
      <c r="B219" s="366" t="s">
        <v>467</v>
      </c>
      <c r="C219" s="366"/>
      <c r="D219" s="366"/>
      <c r="E219" s="226"/>
      <c r="F219" s="227"/>
      <c r="G219" s="226"/>
      <c r="H219" s="226"/>
      <c r="I219" s="226"/>
      <c r="J219" s="226"/>
      <c r="K219" s="226"/>
      <c r="L219" s="226"/>
      <c r="M219" s="226"/>
      <c r="N219" s="363"/>
      <c r="O219" s="363"/>
      <c r="P219" s="363"/>
      <c r="Q219" s="363"/>
      <c r="R219" s="226"/>
      <c r="S219" s="226"/>
      <c r="T219" s="226"/>
      <c r="U219" s="226"/>
      <c r="V219" s="226"/>
      <c r="W219" s="226"/>
      <c r="X219" s="226"/>
      <c r="Y219" s="226"/>
      <c r="Z219" s="226"/>
      <c r="AA219" s="226"/>
      <c r="AB219" s="226"/>
      <c r="AC219" s="311">
        <f t="shared" si="16"/>
        <v>0</v>
      </c>
      <c r="AD219" s="226"/>
      <c r="AE219" s="226"/>
      <c r="AF219" s="224"/>
      <c r="AG219" s="226"/>
      <c r="AH219" s="364">
        <f t="shared" si="17"/>
        <v>0</v>
      </c>
    </row>
    <row r="220" spans="1:34" s="230" customFormat="1" ht="14">
      <c r="A220" s="569">
        <v>6.1</v>
      </c>
      <c r="B220" s="366" t="s">
        <v>149</v>
      </c>
      <c r="C220" s="366"/>
      <c r="D220" s="366"/>
      <c r="E220" s="226"/>
      <c r="F220" s="227"/>
      <c r="G220" s="226"/>
      <c r="H220" s="226"/>
      <c r="I220" s="226"/>
      <c r="J220" s="226"/>
      <c r="K220" s="226"/>
      <c r="L220" s="226"/>
      <c r="M220" s="226"/>
      <c r="N220" s="363"/>
      <c r="O220" s="363"/>
      <c r="P220" s="363"/>
      <c r="Q220" s="363"/>
      <c r="R220" s="226"/>
      <c r="S220" s="226"/>
      <c r="T220" s="226"/>
      <c r="U220" s="226"/>
      <c r="V220" s="226"/>
      <c r="W220" s="226">
        <v>1</v>
      </c>
      <c r="X220" s="226"/>
      <c r="Y220" s="226"/>
      <c r="Z220" s="226"/>
      <c r="AA220" s="226"/>
      <c r="AB220" s="226"/>
      <c r="AC220" s="311">
        <f t="shared" si="16"/>
        <v>1</v>
      </c>
      <c r="AD220" s="226" t="s">
        <v>51</v>
      </c>
      <c r="AE220" s="226" t="s">
        <v>104</v>
      </c>
      <c r="AF220" s="224" t="s">
        <v>31</v>
      </c>
      <c r="AG220" s="226">
        <v>5.0000000000000001E-3</v>
      </c>
      <c r="AH220" s="364">
        <f t="shared" si="17"/>
        <v>360525</v>
      </c>
    </row>
    <row r="221" spans="1:34" s="230" customFormat="1" ht="14">
      <c r="A221" s="569">
        <v>6.2</v>
      </c>
      <c r="B221" s="366" t="s">
        <v>151</v>
      </c>
      <c r="C221" s="366"/>
      <c r="D221" s="366"/>
      <c r="E221" s="226"/>
      <c r="F221" s="227"/>
      <c r="G221" s="226"/>
      <c r="H221" s="226"/>
      <c r="I221" s="226"/>
      <c r="J221" s="226"/>
      <c r="K221" s="226"/>
      <c r="L221" s="226"/>
      <c r="M221" s="226"/>
      <c r="N221" s="363"/>
      <c r="O221" s="363"/>
      <c r="P221" s="363"/>
      <c r="Q221" s="363"/>
      <c r="R221" s="226"/>
      <c r="S221" s="226"/>
      <c r="T221" s="226"/>
      <c r="U221" s="226"/>
      <c r="V221" s="226"/>
      <c r="W221" s="226">
        <v>1</v>
      </c>
      <c r="X221" s="226"/>
      <c r="Y221" s="226"/>
      <c r="Z221" s="226"/>
      <c r="AA221" s="226"/>
      <c r="AB221" s="226"/>
      <c r="AC221" s="311">
        <f t="shared" si="16"/>
        <v>1</v>
      </c>
      <c r="AD221" s="226" t="s">
        <v>51</v>
      </c>
      <c r="AE221" s="226" t="s">
        <v>104</v>
      </c>
      <c r="AF221" s="224" t="s">
        <v>31</v>
      </c>
      <c r="AG221" s="226">
        <v>4.0000000000000001E-3</v>
      </c>
      <c r="AH221" s="364">
        <f t="shared" si="17"/>
        <v>360525</v>
      </c>
    </row>
    <row r="222" spans="1:34" s="183" customFormat="1" ht="21.75" customHeight="1">
      <c r="A222" s="350" t="s">
        <v>157</v>
      </c>
      <c r="B222" s="347" t="s">
        <v>541</v>
      </c>
      <c r="C222" s="347"/>
      <c r="D222" s="347"/>
      <c r="E222" s="346"/>
      <c r="F222" s="347"/>
      <c r="G222" s="346"/>
      <c r="H222" s="346"/>
      <c r="I222" s="346"/>
      <c r="J222" s="346"/>
      <c r="K222" s="346"/>
      <c r="L222" s="346"/>
      <c r="M222" s="346"/>
      <c r="N222" s="357"/>
      <c r="O222" s="357"/>
      <c r="P222" s="357"/>
      <c r="Q222" s="357"/>
      <c r="R222" s="346"/>
      <c r="S222" s="346"/>
      <c r="T222" s="346"/>
      <c r="U222" s="346"/>
      <c r="V222" s="346"/>
      <c r="W222" s="346">
        <v>1</v>
      </c>
      <c r="X222" s="346"/>
      <c r="Y222" s="346"/>
      <c r="Z222" s="346"/>
      <c r="AA222" s="346"/>
      <c r="AB222" s="346"/>
      <c r="AC222" s="346">
        <f t="shared" si="16"/>
        <v>1</v>
      </c>
      <c r="AD222" s="346" t="s">
        <v>51</v>
      </c>
      <c r="AE222" s="278" t="s">
        <v>104</v>
      </c>
      <c r="AF222" s="350" t="s">
        <v>31</v>
      </c>
      <c r="AG222" s="357">
        <v>0.1</v>
      </c>
      <c r="AH222" s="358">
        <f t="shared" si="17"/>
        <v>360525</v>
      </c>
    </row>
    <row r="223" spans="1:34" s="183" customFormat="1" ht="65">
      <c r="A223" s="311">
        <v>8</v>
      </c>
      <c r="B223" s="366" t="s">
        <v>464</v>
      </c>
      <c r="C223" s="366"/>
      <c r="D223" s="366"/>
      <c r="E223" s="346"/>
      <c r="F223" s="347"/>
      <c r="G223" s="346"/>
      <c r="H223" s="346"/>
      <c r="I223" s="346"/>
      <c r="J223" s="346"/>
      <c r="K223" s="346"/>
      <c r="L223" s="346"/>
      <c r="M223" s="346"/>
      <c r="N223" s="357"/>
      <c r="O223" s="357"/>
      <c r="P223" s="357"/>
      <c r="Q223" s="357"/>
      <c r="R223" s="346"/>
      <c r="S223" s="346"/>
      <c r="T223" s="346"/>
      <c r="U223" s="346"/>
      <c r="V223" s="346"/>
      <c r="W223" s="346">
        <v>1</v>
      </c>
      <c r="X223" s="346"/>
      <c r="Y223" s="346"/>
      <c r="Z223" s="346"/>
      <c r="AA223" s="346"/>
      <c r="AB223" s="346"/>
      <c r="AC223" s="346">
        <f t="shared" si="16"/>
        <v>1</v>
      </c>
      <c r="AD223" s="346" t="s">
        <v>51</v>
      </c>
      <c r="AE223" s="311" t="s">
        <v>104</v>
      </c>
      <c r="AF223" s="350" t="s">
        <v>31</v>
      </c>
      <c r="AG223" s="357">
        <v>0.1</v>
      </c>
      <c r="AH223" s="358">
        <f t="shared" ref="AH223:AH252" si="18">(E223*E$6+F223*F$6+G223*G$6+H223*H$6+I223*I$6+J223*J$6+K223*K$6+L223*L$6+M223*M$6+N223*N$6+O223*O$6+P223*P$6+Q223*Q$6+R223*R$6+S223*S$6+T223*T$6+U223*U$6+V223*V$6+W223*W$6+X223*X$6+Y223*Y$6+Z223*Z$6+AA223*AA$6+AB223*AB$6)</f>
        <v>360525</v>
      </c>
    </row>
    <row r="224" spans="1:34" s="183" customFormat="1" ht="65">
      <c r="A224" s="311">
        <v>9</v>
      </c>
      <c r="B224" s="366" t="s">
        <v>465</v>
      </c>
      <c r="C224" s="366"/>
      <c r="D224" s="366"/>
      <c r="E224" s="346"/>
      <c r="F224" s="347"/>
      <c r="G224" s="346"/>
      <c r="H224" s="346"/>
      <c r="I224" s="346"/>
      <c r="J224" s="346"/>
      <c r="K224" s="346"/>
      <c r="L224" s="346">
        <v>1</v>
      </c>
      <c r="M224" s="346"/>
      <c r="N224" s="357"/>
      <c r="O224" s="357"/>
      <c r="P224" s="357"/>
      <c r="Q224" s="357"/>
      <c r="R224" s="346"/>
      <c r="S224" s="346"/>
      <c r="T224" s="346"/>
      <c r="U224" s="346"/>
      <c r="V224" s="346">
        <v>1</v>
      </c>
      <c r="W224" s="346"/>
      <c r="X224" s="346"/>
      <c r="Y224" s="346"/>
      <c r="Z224" s="346"/>
      <c r="AA224" s="346"/>
      <c r="AB224" s="346"/>
      <c r="AC224" s="346">
        <f t="shared" si="16"/>
        <v>2</v>
      </c>
      <c r="AD224" s="346" t="s">
        <v>51</v>
      </c>
      <c r="AE224" s="311" t="s">
        <v>466</v>
      </c>
      <c r="AF224" s="350" t="s">
        <v>31</v>
      </c>
      <c r="AG224" s="357">
        <v>0.5</v>
      </c>
      <c r="AH224" s="358">
        <f t="shared" si="18"/>
        <v>616497.75</v>
      </c>
    </row>
    <row r="225" spans="1:34" s="231" customFormat="1" ht="52">
      <c r="A225" s="569" t="s">
        <v>36</v>
      </c>
      <c r="B225" s="366" t="s">
        <v>505</v>
      </c>
      <c r="C225" s="366"/>
      <c r="D225" s="366"/>
      <c r="E225" s="311"/>
      <c r="F225" s="366"/>
      <c r="G225" s="311"/>
      <c r="H225" s="311"/>
      <c r="I225" s="311"/>
      <c r="J225" s="311"/>
      <c r="K225" s="311"/>
      <c r="L225" s="311"/>
      <c r="M225" s="311"/>
      <c r="N225" s="367"/>
      <c r="O225" s="367"/>
      <c r="P225" s="367"/>
      <c r="Q225" s="367"/>
      <c r="R225" s="311"/>
      <c r="S225" s="311"/>
      <c r="T225" s="311"/>
      <c r="U225" s="311"/>
      <c r="V225" s="311"/>
      <c r="W225" s="311"/>
      <c r="X225" s="311"/>
      <c r="Y225" s="311"/>
      <c r="Z225" s="311"/>
      <c r="AA225" s="311"/>
      <c r="AB225" s="311"/>
      <c r="AC225" s="311">
        <f t="shared" si="16"/>
        <v>0</v>
      </c>
      <c r="AD225" s="311"/>
      <c r="AE225" s="311"/>
      <c r="AF225" s="569"/>
      <c r="AG225" s="311"/>
      <c r="AH225" s="374"/>
    </row>
    <row r="226" spans="1:34" s="410" customFormat="1" ht="14">
      <c r="A226" s="563" t="s">
        <v>175</v>
      </c>
      <c r="B226" s="564" t="s">
        <v>163</v>
      </c>
      <c r="C226" s="564"/>
      <c r="D226" s="564"/>
      <c r="E226" s="311"/>
      <c r="F226" s="366"/>
      <c r="G226" s="311"/>
      <c r="H226" s="311"/>
      <c r="I226" s="311"/>
      <c r="J226" s="311"/>
      <c r="K226" s="311"/>
      <c r="L226" s="311"/>
      <c r="M226" s="311"/>
      <c r="N226" s="367"/>
      <c r="O226" s="367"/>
      <c r="P226" s="367"/>
      <c r="Q226" s="367"/>
      <c r="R226" s="311"/>
      <c r="S226" s="311"/>
      <c r="T226" s="311"/>
      <c r="U226" s="311"/>
      <c r="V226" s="311">
        <v>1</v>
      </c>
      <c r="W226" s="311"/>
      <c r="X226" s="311"/>
      <c r="Y226" s="311"/>
      <c r="Z226" s="311"/>
      <c r="AA226" s="311"/>
      <c r="AB226" s="311"/>
      <c r="AC226" s="311">
        <f t="shared" si="16"/>
        <v>1</v>
      </c>
      <c r="AD226" s="311" t="s">
        <v>51</v>
      </c>
      <c r="AE226" s="311" t="s">
        <v>67</v>
      </c>
      <c r="AF226" s="569" t="s">
        <v>31</v>
      </c>
      <c r="AG226" s="311">
        <v>2.5000000000000001E-2</v>
      </c>
      <c r="AH226" s="374">
        <f t="shared" si="18"/>
        <v>320867.25</v>
      </c>
    </row>
    <row r="227" spans="1:34" s="410" customFormat="1" ht="14">
      <c r="A227" s="563" t="s">
        <v>107</v>
      </c>
      <c r="B227" s="564" t="s">
        <v>164</v>
      </c>
      <c r="C227" s="564"/>
      <c r="D227" s="564"/>
      <c r="E227" s="311"/>
      <c r="F227" s="366"/>
      <c r="G227" s="311"/>
      <c r="H227" s="311"/>
      <c r="I227" s="311"/>
      <c r="J227" s="311"/>
      <c r="K227" s="311"/>
      <c r="L227" s="311"/>
      <c r="M227" s="311"/>
      <c r="N227" s="367"/>
      <c r="O227" s="367"/>
      <c r="P227" s="367"/>
      <c r="Q227" s="367"/>
      <c r="R227" s="311"/>
      <c r="S227" s="311"/>
      <c r="T227" s="311"/>
      <c r="U227" s="311"/>
      <c r="V227" s="311">
        <v>1</v>
      </c>
      <c r="W227" s="311"/>
      <c r="X227" s="311"/>
      <c r="Y227" s="311"/>
      <c r="Z227" s="311"/>
      <c r="AA227" s="311"/>
      <c r="AB227" s="311"/>
      <c r="AC227" s="311">
        <f t="shared" si="16"/>
        <v>1</v>
      </c>
      <c r="AD227" s="311" t="s">
        <v>51</v>
      </c>
      <c r="AE227" s="311" t="s">
        <v>67</v>
      </c>
      <c r="AF227" s="569" t="s">
        <v>31</v>
      </c>
      <c r="AG227" s="311">
        <v>0.05</v>
      </c>
      <c r="AH227" s="374">
        <f t="shared" si="18"/>
        <v>320867.25</v>
      </c>
    </row>
    <row r="228" spans="1:34" s="183" customFormat="1" ht="26">
      <c r="A228" s="569" t="s">
        <v>37</v>
      </c>
      <c r="B228" s="366" t="s">
        <v>469</v>
      </c>
      <c r="C228" s="366"/>
      <c r="D228" s="366"/>
      <c r="E228" s="311"/>
      <c r="F228" s="366"/>
      <c r="G228" s="311"/>
      <c r="H228" s="311"/>
      <c r="I228" s="311"/>
      <c r="J228" s="311"/>
      <c r="K228" s="311"/>
      <c r="L228" s="311"/>
      <c r="M228" s="311"/>
      <c r="N228" s="367"/>
      <c r="O228" s="367"/>
      <c r="P228" s="367"/>
      <c r="Q228" s="367"/>
      <c r="R228" s="311"/>
      <c r="S228" s="311"/>
      <c r="T228" s="311"/>
      <c r="U228" s="311"/>
      <c r="V228" s="311"/>
      <c r="W228" s="311"/>
      <c r="X228" s="311"/>
      <c r="Y228" s="311"/>
      <c r="Z228" s="311"/>
      <c r="AA228" s="311"/>
      <c r="AB228" s="311"/>
      <c r="AC228" s="311">
        <f t="shared" si="16"/>
        <v>0</v>
      </c>
      <c r="AD228" s="311"/>
      <c r="AE228" s="311"/>
      <c r="AF228" s="311"/>
      <c r="AG228" s="311"/>
      <c r="AH228" s="374">
        <f t="shared" si="18"/>
        <v>0</v>
      </c>
    </row>
    <row r="229" spans="1:34" s="305" customFormat="1" ht="17.25" customHeight="1">
      <c r="A229" s="569" t="s">
        <v>201</v>
      </c>
      <c r="B229" s="564" t="s">
        <v>166</v>
      </c>
      <c r="C229" s="564"/>
      <c r="D229" s="564"/>
      <c r="E229" s="311"/>
      <c r="F229" s="366"/>
      <c r="G229" s="311"/>
      <c r="H229" s="311"/>
      <c r="I229" s="311"/>
      <c r="J229" s="311"/>
      <c r="K229" s="311"/>
      <c r="L229" s="311"/>
      <c r="M229" s="311"/>
      <c r="N229" s="367"/>
      <c r="O229" s="367"/>
      <c r="P229" s="367"/>
      <c r="Q229" s="367"/>
      <c r="R229" s="311"/>
      <c r="S229" s="311"/>
      <c r="T229" s="311"/>
      <c r="U229" s="311"/>
      <c r="V229" s="311"/>
      <c r="W229" s="311">
        <v>1</v>
      </c>
      <c r="X229" s="311"/>
      <c r="Y229" s="311"/>
      <c r="Z229" s="311"/>
      <c r="AA229" s="311"/>
      <c r="AB229" s="311"/>
      <c r="AC229" s="311">
        <f t="shared" si="16"/>
        <v>1</v>
      </c>
      <c r="AD229" s="311" t="s">
        <v>51</v>
      </c>
      <c r="AE229" s="311" t="s">
        <v>104</v>
      </c>
      <c r="AF229" s="569" t="s">
        <v>31</v>
      </c>
      <c r="AG229" s="311">
        <v>0.03</v>
      </c>
      <c r="AH229" s="374">
        <f t="shared" si="18"/>
        <v>360525</v>
      </c>
    </row>
    <row r="230" spans="1:34" s="305" customFormat="1" ht="17.25" customHeight="1">
      <c r="A230" s="569" t="s">
        <v>202</v>
      </c>
      <c r="B230" s="564" t="s">
        <v>168</v>
      </c>
      <c r="C230" s="564"/>
      <c r="D230" s="564"/>
      <c r="E230" s="311"/>
      <c r="F230" s="366"/>
      <c r="G230" s="311"/>
      <c r="H230" s="311"/>
      <c r="I230" s="311"/>
      <c r="J230" s="311"/>
      <c r="K230" s="311"/>
      <c r="L230" s="311"/>
      <c r="M230" s="311"/>
      <c r="N230" s="367"/>
      <c r="O230" s="367"/>
      <c r="P230" s="367"/>
      <c r="Q230" s="367"/>
      <c r="R230" s="311"/>
      <c r="S230" s="311"/>
      <c r="T230" s="311"/>
      <c r="U230" s="311"/>
      <c r="V230" s="311"/>
      <c r="W230" s="311">
        <v>1</v>
      </c>
      <c r="X230" s="311"/>
      <c r="Y230" s="311"/>
      <c r="Z230" s="311"/>
      <c r="AA230" s="311"/>
      <c r="AB230" s="311"/>
      <c r="AC230" s="311">
        <f t="shared" si="16"/>
        <v>1</v>
      </c>
      <c r="AD230" s="311" t="s">
        <v>51</v>
      </c>
      <c r="AE230" s="311" t="s">
        <v>104</v>
      </c>
      <c r="AF230" s="569" t="s">
        <v>31</v>
      </c>
      <c r="AG230" s="311">
        <v>0.04</v>
      </c>
      <c r="AH230" s="374">
        <f t="shared" si="18"/>
        <v>360525</v>
      </c>
    </row>
    <row r="231" spans="1:34" s="231" customFormat="1" ht="26">
      <c r="A231" s="569" t="s">
        <v>179</v>
      </c>
      <c r="B231" s="366" t="s">
        <v>472</v>
      </c>
      <c r="C231" s="366"/>
      <c r="D231" s="366"/>
      <c r="E231" s="311"/>
      <c r="F231" s="366"/>
      <c r="G231" s="311"/>
      <c r="H231" s="311"/>
      <c r="I231" s="311"/>
      <c r="J231" s="311"/>
      <c r="K231" s="311"/>
      <c r="L231" s="311"/>
      <c r="M231" s="311"/>
      <c r="N231" s="367"/>
      <c r="O231" s="367"/>
      <c r="P231" s="367"/>
      <c r="Q231" s="367"/>
      <c r="R231" s="311"/>
      <c r="S231" s="311"/>
      <c r="T231" s="311"/>
      <c r="U231" s="311"/>
      <c r="V231" s="311"/>
      <c r="W231" s="311"/>
      <c r="X231" s="311"/>
      <c r="Y231" s="311"/>
      <c r="Z231" s="311"/>
      <c r="AA231" s="311"/>
      <c r="AB231" s="311"/>
      <c r="AC231" s="311">
        <f t="shared" si="16"/>
        <v>0</v>
      </c>
      <c r="AD231" s="311"/>
      <c r="AE231" s="311"/>
      <c r="AF231" s="311"/>
      <c r="AG231" s="311"/>
      <c r="AH231" s="374">
        <f t="shared" si="18"/>
        <v>0</v>
      </c>
    </row>
    <row r="232" spans="1:34" s="410" customFormat="1" ht="26">
      <c r="A232" s="569" t="s">
        <v>217</v>
      </c>
      <c r="B232" s="564" t="s">
        <v>170</v>
      </c>
      <c r="C232" s="564"/>
      <c r="D232" s="564"/>
      <c r="E232" s="311"/>
      <c r="F232" s="366"/>
      <c r="G232" s="311"/>
      <c r="H232" s="311"/>
      <c r="I232" s="311"/>
      <c r="J232" s="311"/>
      <c r="K232" s="311"/>
      <c r="L232" s="311"/>
      <c r="M232" s="311"/>
      <c r="N232" s="367"/>
      <c r="O232" s="367"/>
      <c r="P232" s="367"/>
      <c r="Q232" s="367"/>
      <c r="R232" s="311"/>
      <c r="S232" s="311"/>
      <c r="T232" s="311"/>
      <c r="U232" s="311"/>
      <c r="V232" s="311">
        <v>1</v>
      </c>
      <c r="W232" s="311"/>
      <c r="X232" s="311"/>
      <c r="Y232" s="311"/>
      <c r="Z232" s="311"/>
      <c r="AA232" s="311"/>
      <c r="AB232" s="311"/>
      <c r="AC232" s="311">
        <f t="shared" si="16"/>
        <v>1</v>
      </c>
      <c r="AD232" s="311" t="s">
        <v>51</v>
      </c>
      <c r="AE232" s="311" t="s">
        <v>67</v>
      </c>
      <c r="AF232" s="569" t="s">
        <v>31</v>
      </c>
      <c r="AG232" s="311">
        <v>0.04</v>
      </c>
      <c r="AH232" s="374">
        <f t="shared" si="18"/>
        <v>320867.25</v>
      </c>
    </row>
    <row r="233" spans="1:34" s="410" customFormat="1" ht="26">
      <c r="A233" s="569" t="s">
        <v>218</v>
      </c>
      <c r="B233" s="564" t="s">
        <v>171</v>
      </c>
      <c r="C233" s="564"/>
      <c r="D233" s="564"/>
      <c r="E233" s="311"/>
      <c r="F233" s="366"/>
      <c r="G233" s="311"/>
      <c r="H233" s="311"/>
      <c r="I233" s="311"/>
      <c r="J233" s="311"/>
      <c r="K233" s="311"/>
      <c r="L233" s="311"/>
      <c r="M233" s="311"/>
      <c r="N233" s="367"/>
      <c r="O233" s="367"/>
      <c r="P233" s="367"/>
      <c r="Q233" s="367"/>
      <c r="R233" s="311"/>
      <c r="S233" s="311"/>
      <c r="T233" s="311"/>
      <c r="U233" s="311"/>
      <c r="V233" s="311">
        <v>1</v>
      </c>
      <c r="W233" s="311"/>
      <c r="X233" s="311"/>
      <c r="Y233" s="311"/>
      <c r="Z233" s="311"/>
      <c r="AA233" s="311"/>
      <c r="AB233" s="311"/>
      <c r="AC233" s="311">
        <f t="shared" si="16"/>
        <v>1</v>
      </c>
      <c r="AD233" s="311" t="s">
        <v>51</v>
      </c>
      <c r="AE233" s="311" t="s">
        <v>67</v>
      </c>
      <c r="AF233" s="569" t="s">
        <v>31</v>
      </c>
      <c r="AG233" s="311">
        <v>0.03</v>
      </c>
      <c r="AH233" s="374">
        <f t="shared" si="18"/>
        <v>320867.25</v>
      </c>
    </row>
    <row r="234" spans="1:34" s="231" customFormat="1" ht="26">
      <c r="A234" s="569" t="s">
        <v>180</v>
      </c>
      <c r="B234" s="366" t="s">
        <v>542</v>
      </c>
      <c r="C234" s="366"/>
      <c r="D234" s="366"/>
      <c r="E234" s="311"/>
      <c r="F234" s="366"/>
      <c r="G234" s="311"/>
      <c r="H234" s="311"/>
      <c r="I234" s="311"/>
      <c r="J234" s="311"/>
      <c r="K234" s="311"/>
      <c r="L234" s="311"/>
      <c r="M234" s="311"/>
      <c r="N234" s="367"/>
      <c r="O234" s="367"/>
      <c r="P234" s="367"/>
      <c r="Q234" s="367"/>
      <c r="R234" s="311"/>
      <c r="S234" s="311"/>
      <c r="T234" s="311"/>
      <c r="U234" s="311"/>
      <c r="V234" s="311"/>
      <c r="W234" s="311">
        <v>1</v>
      </c>
      <c r="X234" s="311"/>
      <c r="Y234" s="311"/>
      <c r="Z234" s="311"/>
      <c r="AA234" s="311"/>
      <c r="AB234" s="311"/>
      <c r="AC234" s="311">
        <f t="shared" si="16"/>
        <v>1</v>
      </c>
      <c r="AD234" s="311" t="s">
        <v>1</v>
      </c>
      <c r="AE234" s="311" t="s">
        <v>104</v>
      </c>
      <c r="AF234" s="569" t="s">
        <v>31</v>
      </c>
      <c r="AG234" s="311">
        <v>3.3000000000000002E-2</v>
      </c>
      <c r="AH234" s="374">
        <f t="shared" si="18"/>
        <v>360525</v>
      </c>
    </row>
    <row r="235" spans="1:34" s="231" customFormat="1" ht="14">
      <c r="A235" s="569" t="s">
        <v>182</v>
      </c>
      <c r="B235" s="366" t="s">
        <v>173</v>
      </c>
      <c r="C235" s="366"/>
      <c r="D235" s="366"/>
      <c r="E235" s="311"/>
      <c r="F235" s="366"/>
      <c r="G235" s="311"/>
      <c r="H235" s="311"/>
      <c r="I235" s="311"/>
      <c r="J235" s="311"/>
      <c r="K235" s="311"/>
      <c r="L235" s="311"/>
      <c r="M235" s="311"/>
      <c r="N235" s="367"/>
      <c r="O235" s="367"/>
      <c r="P235" s="367"/>
      <c r="Q235" s="367"/>
      <c r="R235" s="311"/>
      <c r="S235" s="311"/>
      <c r="T235" s="311"/>
      <c r="U235" s="311"/>
      <c r="V235" s="311"/>
      <c r="W235" s="311">
        <v>1</v>
      </c>
      <c r="X235" s="311"/>
      <c r="Y235" s="311"/>
      <c r="Z235" s="311"/>
      <c r="AA235" s="311"/>
      <c r="AB235" s="311"/>
      <c r="AC235" s="311">
        <f t="shared" si="16"/>
        <v>1</v>
      </c>
      <c r="AD235" s="311" t="s">
        <v>51</v>
      </c>
      <c r="AE235" s="311" t="s">
        <v>104</v>
      </c>
      <c r="AF235" s="569" t="s">
        <v>31</v>
      </c>
      <c r="AG235" s="367">
        <v>0.2</v>
      </c>
      <c r="AH235" s="374">
        <f t="shared" si="18"/>
        <v>360525</v>
      </c>
    </row>
    <row r="236" spans="1:34" s="231" customFormat="1" ht="14">
      <c r="A236" s="569" t="s">
        <v>189</v>
      </c>
      <c r="B236" s="366" t="s">
        <v>174</v>
      </c>
      <c r="C236" s="366"/>
      <c r="D236" s="366"/>
      <c r="E236" s="311"/>
      <c r="F236" s="366"/>
      <c r="G236" s="311"/>
      <c r="H236" s="311"/>
      <c r="I236" s="311"/>
      <c r="J236" s="311"/>
      <c r="K236" s="311"/>
      <c r="L236" s="311"/>
      <c r="M236" s="311"/>
      <c r="N236" s="367"/>
      <c r="O236" s="367"/>
      <c r="P236" s="367"/>
      <c r="Q236" s="367"/>
      <c r="R236" s="311"/>
      <c r="S236" s="311"/>
      <c r="T236" s="311"/>
      <c r="U236" s="311"/>
      <c r="V236" s="311"/>
      <c r="W236" s="311"/>
      <c r="X236" s="311"/>
      <c r="Y236" s="311"/>
      <c r="Z236" s="311"/>
      <c r="AA236" s="311"/>
      <c r="AB236" s="311"/>
      <c r="AC236" s="311">
        <f t="shared" si="16"/>
        <v>0</v>
      </c>
      <c r="AD236" s="311"/>
      <c r="AE236" s="311"/>
      <c r="AF236" s="311"/>
      <c r="AG236" s="311"/>
      <c r="AH236" s="374">
        <f t="shared" si="18"/>
        <v>0</v>
      </c>
    </row>
    <row r="237" spans="1:34" s="410" customFormat="1" ht="14">
      <c r="A237" s="563" t="s">
        <v>203</v>
      </c>
      <c r="B237" s="564" t="s">
        <v>176</v>
      </c>
      <c r="C237" s="564"/>
      <c r="D237" s="564"/>
      <c r="E237" s="439"/>
      <c r="F237" s="564"/>
      <c r="G237" s="439"/>
      <c r="H237" s="439"/>
      <c r="I237" s="439"/>
      <c r="J237" s="439"/>
      <c r="K237" s="439"/>
      <c r="L237" s="439"/>
      <c r="M237" s="439"/>
      <c r="N237" s="575"/>
      <c r="O237" s="575"/>
      <c r="P237" s="575"/>
      <c r="Q237" s="575"/>
      <c r="R237" s="439"/>
      <c r="S237" s="439"/>
      <c r="T237" s="439"/>
      <c r="U237" s="439"/>
      <c r="V237" s="439">
        <v>1</v>
      </c>
      <c r="W237" s="439"/>
      <c r="X237" s="439"/>
      <c r="Y237" s="439"/>
      <c r="Z237" s="439"/>
      <c r="AA237" s="439"/>
      <c r="AB237" s="439"/>
      <c r="AC237" s="439">
        <f t="shared" si="16"/>
        <v>1</v>
      </c>
      <c r="AD237" s="439" t="s">
        <v>141</v>
      </c>
      <c r="AE237" s="439" t="s">
        <v>67</v>
      </c>
      <c r="AF237" s="563" t="s">
        <v>31</v>
      </c>
      <c r="AG237" s="575">
        <v>0.05</v>
      </c>
      <c r="AH237" s="576">
        <f t="shared" si="18"/>
        <v>320867.25</v>
      </c>
    </row>
    <row r="238" spans="1:34" s="410" customFormat="1" ht="14">
      <c r="A238" s="563" t="s">
        <v>204</v>
      </c>
      <c r="B238" s="564" t="s">
        <v>177</v>
      </c>
      <c r="C238" s="564"/>
      <c r="D238" s="564"/>
      <c r="E238" s="439"/>
      <c r="F238" s="564"/>
      <c r="G238" s="439"/>
      <c r="H238" s="439"/>
      <c r="I238" s="439"/>
      <c r="J238" s="439"/>
      <c r="K238" s="439"/>
      <c r="L238" s="439"/>
      <c r="M238" s="439"/>
      <c r="N238" s="575"/>
      <c r="O238" s="575"/>
      <c r="P238" s="575"/>
      <c r="Q238" s="575"/>
      <c r="R238" s="439"/>
      <c r="S238" s="439"/>
      <c r="T238" s="439"/>
      <c r="U238" s="439"/>
      <c r="V238" s="439">
        <v>1</v>
      </c>
      <c r="W238" s="439"/>
      <c r="X238" s="439"/>
      <c r="Y238" s="439"/>
      <c r="Z238" s="439"/>
      <c r="AA238" s="439"/>
      <c r="AB238" s="439"/>
      <c r="AC238" s="439">
        <f t="shared" si="16"/>
        <v>1</v>
      </c>
      <c r="AD238" s="439" t="s">
        <v>141</v>
      </c>
      <c r="AE238" s="439" t="s">
        <v>67</v>
      </c>
      <c r="AF238" s="563" t="s">
        <v>31</v>
      </c>
      <c r="AG238" s="575">
        <v>0.1</v>
      </c>
      <c r="AH238" s="576">
        <f t="shared" si="18"/>
        <v>320867.25</v>
      </c>
    </row>
    <row r="239" spans="1:34" s="231" customFormat="1" ht="26">
      <c r="A239" s="350" t="s">
        <v>190</v>
      </c>
      <c r="B239" s="347" t="s">
        <v>178</v>
      </c>
      <c r="C239" s="347"/>
      <c r="D239" s="347"/>
      <c r="E239" s="346"/>
      <c r="F239" s="347"/>
      <c r="G239" s="346"/>
      <c r="H239" s="346"/>
      <c r="I239" s="346"/>
      <c r="J239" s="346"/>
      <c r="K239" s="346"/>
      <c r="L239" s="346"/>
      <c r="M239" s="346"/>
      <c r="N239" s="357"/>
      <c r="O239" s="357"/>
      <c r="P239" s="357"/>
      <c r="Q239" s="357"/>
      <c r="R239" s="346"/>
      <c r="S239" s="346"/>
      <c r="T239" s="346"/>
      <c r="U239" s="346"/>
      <c r="V239" s="346">
        <v>1</v>
      </c>
      <c r="W239" s="346"/>
      <c r="X239" s="346"/>
      <c r="Y239" s="346"/>
      <c r="Z239" s="346"/>
      <c r="AA239" s="346"/>
      <c r="AB239" s="346"/>
      <c r="AC239" s="346">
        <f t="shared" si="16"/>
        <v>1</v>
      </c>
      <c r="AD239" s="346" t="s">
        <v>51</v>
      </c>
      <c r="AE239" s="346" t="s">
        <v>67</v>
      </c>
      <c r="AF239" s="350" t="s">
        <v>31</v>
      </c>
      <c r="AG239" s="346">
        <v>0.04</v>
      </c>
      <c r="AH239" s="358">
        <f t="shared" si="18"/>
        <v>320867.25</v>
      </c>
    </row>
    <row r="240" spans="1:34" s="231" customFormat="1" ht="26">
      <c r="A240" s="350" t="s">
        <v>205</v>
      </c>
      <c r="B240" s="347" t="s">
        <v>543</v>
      </c>
      <c r="C240" s="347"/>
      <c r="D240" s="347"/>
      <c r="E240" s="346"/>
      <c r="F240" s="347"/>
      <c r="G240" s="346"/>
      <c r="H240" s="346"/>
      <c r="I240" s="346"/>
      <c r="J240" s="346"/>
      <c r="K240" s="346"/>
      <c r="L240" s="346"/>
      <c r="M240" s="346"/>
      <c r="N240" s="357"/>
      <c r="O240" s="357"/>
      <c r="P240" s="357"/>
      <c r="Q240" s="357"/>
      <c r="R240" s="346"/>
      <c r="S240" s="346"/>
      <c r="T240" s="346"/>
      <c r="U240" s="346"/>
      <c r="V240" s="346"/>
      <c r="W240" s="346"/>
      <c r="X240" s="346"/>
      <c r="Y240" s="346"/>
      <c r="Z240" s="346"/>
      <c r="AA240" s="346"/>
      <c r="AB240" s="346"/>
      <c r="AC240" s="346">
        <f t="shared" si="16"/>
        <v>0</v>
      </c>
      <c r="AD240" s="346"/>
      <c r="AE240" s="346"/>
      <c r="AF240" s="350"/>
      <c r="AG240" s="346"/>
      <c r="AH240" s="358"/>
    </row>
    <row r="241" spans="1:34" s="410" customFormat="1" ht="58.5" customHeight="1">
      <c r="A241" s="400" t="s">
        <v>206</v>
      </c>
      <c r="B241" s="365" t="s">
        <v>490</v>
      </c>
      <c r="C241" s="365"/>
      <c r="D241" s="365"/>
      <c r="E241" s="430"/>
      <c r="F241" s="365"/>
      <c r="G241" s="430"/>
      <c r="H241" s="430"/>
      <c r="I241" s="430"/>
      <c r="J241" s="430"/>
      <c r="K241" s="430"/>
      <c r="L241" s="430"/>
      <c r="M241" s="430"/>
      <c r="N241" s="427"/>
      <c r="O241" s="427"/>
      <c r="P241" s="427"/>
      <c r="Q241" s="427"/>
      <c r="R241" s="430"/>
      <c r="S241" s="430"/>
      <c r="T241" s="430"/>
      <c r="U241" s="430"/>
      <c r="V241" s="430">
        <v>1</v>
      </c>
      <c r="W241" s="430"/>
      <c r="X241" s="430"/>
      <c r="Y241" s="430"/>
      <c r="Z241" s="430"/>
      <c r="AA241" s="430"/>
      <c r="AB241" s="430"/>
      <c r="AC241" s="430">
        <f t="shared" si="16"/>
        <v>1</v>
      </c>
      <c r="AD241" s="430" t="s">
        <v>51</v>
      </c>
      <c r="AE241" s="430" t="s">
        <v>67</v>
      </c>
      <c r="AF241" s="400" t="s">
        <v>31</v>
      </c>
      <c r="AG241" s="430">
        <v>0.05</v>
      </c>
      <c r="AH241" s="432">
        <f t="shared" si="18"/>
        <v>320867.25</v>
      </c>
    </row>
    <row r="242" spans="1:34" s="410" customFormat="1" ht="39">
      <c r="A242" s="400" t="s">
        <v>207</v>
      </c>
      <c r="B242" s="365" t="s">
        <v>544</v>
      </c>
      <c r="C242" s="365"/>
      <c r="D242" s="365"/>
      <c r="E242" s="430"/>
      <c r="F242" s="365"/>
      <c r="G242" s="430"/>
      <c r="H242" s="430"/>
      <c r="I242" s="430"/>
      <c r="J242" s="430"/>
      <c r="K242" s="430"/>
      <c r="L242" s="430"/>
      <c r="M242" s="430"/>
      <c r="N242" s="427"/>
      <c r="O242" s="427"/>
      <c r="P242" s="427"/>
      <c r="Q242" s="427"/>
      <c r="R242" s="430"/>
      <c r="S242" s="430"/>
      <c r="T242" s="430"/>
      <c r="U242" s="430"/>
      <c r="V242" s="430">
        <v>1</v>
      </c>
      <c r="W242" s="430"/>
      <c r="X242" s="430"/>
      <c r="Y242" s="430"/>
      <c r="Z242" s="430"/>
      <c r="AA242" s="430"/>
      <c r="AB242" s="430"/>
      <c r="AC242" s="430">
        <f t="shared" si="16"/>
        <v>1</v>
      </c>
      <c r="AD242" s="430" t="s">
        <v>51</v>
      </c>
      <c r="AE242" s="430" t="s">
        <v>67</v>
      </c>
      <c r="AF242" s="400" t="s">
        <v>31</v>
      </c>
      <c r="AG242" s="430">
        <v>0.05</v>
      </c>
      <c r="AH242" s="432">
        <f t="shared" si="18"/>
        <v>320867.25</v>
      </c>
    </row>
    <row r="243" spans="1:34" s="231" customFormat="1" ht="25.5" customHeight="1">
      <c r="A243" s="350" t="s">
        <v>264</v>
      </c>
      <c r="B243" s="347" t="s">
        <v>181</v>
      </c>
      <c r="C243" s="347"/>
      <c r="D243" s="347"/>
      <c r="E243" s="346"/>
      <c r="F243" s="347"/>
      <c r="G243" s="346"/>
      <c r="H243" s="346"/>
      <c r="I243" s="346"/>
      <c r="J243" s="346"/>
      <c r="K243" s="346"/>
      <c r="L243" s="346"/>
      <c r="M243" s="346"/>
      <c r="N243" s="357"/>
      <c r="O243" s="357"/>
      <c r="P243" s="357"/>
      <c r="Q243" s="357"/>
      <c r="R243" s="346"/>
      <c r="S243" s="346"/>
      <c r="T243" s="346"/>
      <c r="U243" s="346"/>
      <c r="V243" s="346"/>
      <c r="W243" s="346">
        <v>1</v>
      </c>
      <c r="X243" s="346"/>
      <c r="Y243" s="346"/>
      <c r="Z243" s="346"/>
      <c r="AA243" s="346"/>
      <c r="AB243" s="346"/>
      <c r="AC243" s="346">
        <f t="shared" si="16"/>
        <v>1</v>
      </c>
      <c r="AD243" s="346" t="s">
        <v>1</v>
      </c>
      <c r="AE243" s="346" t="s">
        <v>104</v>
      </c>
      <c r="AF243" s="350" t="s">
        <v>31</v>
      </c>
      <c r="AG243" s="346">
        <v>3.3000000000000002E-2</v>
      </c>
      <c r="AH243" s="358">
        <f t="shared" si="18"/>
        <v>360525</v>
      </c>
    </row>
    <row r="244" spans="1:34" s="231" customFormat="1" ht="26">
      <c r="A244" s="350" t="s">
        <v>266</v>
      </c>
      <c r="B244" s="347" t="s">
        <v>184</v>
      </c>
      <c r="C244" s="347"/>
      <c r="D244" s="347"/>
      <c r="E244" s="346"/>
      <c r="F244" s="347"/>
      <c r="G244" s="346"/>
      <c r="H244" s="346"/>
      <c r="I244" s="346"/>
      <c r="J244" s="346"/>
      <c r="K244" s="346"/>
      <c r="L244" s="346"/>
      <c r="M244" s="346"/>
      <c r="N244" s="357"/>
      <c r="O244" s="357"/>
      <c r="P244" s="357"/>
      <c r="Q244" s="357"/>
      <c r="R244" s="346"/>
      <c r="S244" s="346"/>
      <c r="T244" s="346"/>
      <c r="U244" s="346"/>
      <c r="V244" s="346"/>
      <c r="W244" s="346"/>
      <c r="X244" s="346"/>
      <c r="Y244" s="346"/>
      <c r="Z244" s="346"/>
      <c r="AA244" s="346"/>
      <c r="AB244" s="346"/>
      <c r="AC244" s="346">
        <f t="shared" si="16"/>
        <v>0</v>
      </c>
      <c r="AD244" s="346"/>
      <c r="AE244" s="346"/>
      <c r="AF244" s="350"/>
      <c r="AG244" s="346"/>
      <c r="AH244" s="358">
        <f t="shared" si="18"/>
        <v>0</v>
      </c>
    </row>
    <row r="245" spans="1:34" s="410" customFormat="1" ht="14">
      <c r="A245" s="400" t="s">
        <v>545</v>
      </c>
      <c r="B245" s="365" t="s">
        <v>185</v>
      </c>
      <c r="C245" s="365"/>
      <c r="D245" s="365"/>
      <c r="E245" s="430"/>
      <c r="F245" s="365"/>
      <c r="G245" s="430"/>
      <c r="H245" s="430"/>
      <c r="I245" s="430"/>
      <c r="J245" s="430"/>
      <c r="K245" s="430"/>
      <c r="L245" s="430"/>
      <c r="M245" s="430"/>
      <c r="N245" s="427"/>
      <c r="O245" s="427"/>
      <c r="P245" s="427"/>
      <c r="Q245" s="427"/>
      <c r="R245" s="430"/>
      <c r="S245" s="430"/>
      <c r="T245" s="430"/>
      <c r="U245" s="430">
        <v>1</v>
      </c>
      <c r="V245" s="430"/>
      <c r="W245" s="430"/>
      <c r="X245" s="430"/>
      <c r="Y245" s="430"/>
      <c r="Z245" s="430"/>
      <c r="AA245" s="430"/>
      <c r="AB245" s="430"/>
      <c r="AC245" s="430">
        <f t="shared" si="16"/>
        <v>1</v>
      </c>
      <c r="AD245" s="430" t="s">
        <v>444</v>
      </c>
      <c r="AE245" s="430" t="s">
        <v>66</v>
      </c>
      <c r="AF245" s="400" t="s">
        <v>31</v>
      </c>
      <c r="AG245" s="430">
        <v>1.6E-2</v>
      </c>
      <c r="AH245" s="432">
        <f t="shared" si="18"/>
        <v>281209.5</v>
      </c>
    </row>
    <row r="246" spans="1:34" s="410" customFormat="1" ht="14">
      <c r="A246" s="400" t="s">
        <v>546</v>
      </c>
      <c r="B246" s="365" t="s">
        <v>186</v>
      </c>
      <c r="C246" s="365"/>
      <c r="D246" s="365"/>
      <c r="E246" s="430"/>
      <c r="F246" s="365"/>
      <c r="G246" s="430"/>
      <c r="H246" s="430"/>
      <c r="I246" s="430"/>
      <c r="J246" s="430"/>
      <c r="K246" s="430"/>
      <c r="L246" s="430"/>
      <c r="M246" s="430"/>
      <c r="N246" s="427"/>
      <c r="O246" s="427"/>
      <c r="P246" s="427"/>
      <c r="Q246" s="427"/>
      <c r="R246" s="430"/>
      <c r="S246" s="430"/>
      <c r="T246" s="430"/>
      <c r="U246" s="430">
        <v>1</v>
      </c>
      <c r="V246" s="430"/>
      <c r="W246" s="430"/>
      <c r="X246" s="430"/>
      <c r="Y246" s="430"/>
      <c r="Z246" s="430"/>
      <c r="AA246" s="430"/>
      <c r="AB246" s="430"/>
      <c r="AC246" s="430">
        <f t="shared" si="16"/>
        <v>1</v>
      </c>
      <c r="AD246" s="430" t="s">
        <v>444</v>
      </c>
      <c r="AE246" s="430" t="s">
        <v>66</v>
      </c>
      <c r="AF246" s="400" t="s">
        <v>31</v>
      </c>
      <c r="AG246" s="430">
        <v>8.0000000000000002E-3</v>
      </c>
      <c r="AH246" s="432">
        <f t="shared" si="18"/>
        <v>281209.5</v>
      </c>
    </row>
    <row r="247" spans="1:34" s="231" customFormat="1" ht="39">
      <c r="A247" s="350" t="s">
        <v>268</v>
      </c>
      <c r="B247" s="347" t="s">
        <v>187</v>
      </c>
      <c r="C247" s="347"/>
      <c r="D247" s="347"/>
      <c r="E247" s="346"/>
      <c r="F247" s="347"/>
      <c r="G247" s="346"/>
      <c r="H247" s="346"/>
      <c r="I247" s="346"/>
      <c r="J247" s="346"/>
      <c r="K247" s="346"/>
      <c r="L247" s="346"/>
      <c r="M247" s="346"/>
      <c r="N247" s="357"/>
      <c r="O247" s="357"/>
      <c r="P247" s="357"/>
      <c r="Q247" s="357"/>
      <c r="R247" s="346"/>
      <c r="S247" s="346"/>
      <c r="T247" s="346"/>
      <c r="U247" s="346">
        <v>1</v>
      </c>
      <c r="V247" s="346"/>
      <c r="W247" s="346"/>
      <c r="X247" s="346"/>
      <c r="Y247" s="346"/>
      <c r="Z247" s="346"/>
      <c r="AA247" s="346"/>
      <c r="AB247" s="346"/>
      <c r="AC247" s="346">
        <f t="shared" si="16"/>
        <v>1</v>
      </c>
      <c r="AD247" s="346" t="s">
        <v>444</v>
      </c>
      <c r="AE247" s="346" t="s">
        <v>66</v>
      </c>
      <c r="AF247" s="350" t="s">
        <v>31</v>
      </c>
      <c r="AG247" s="346">
        <v>4.0000000000000001E-3</v>
      </c>
      <c r="AH247" s="358">
        <f t="shared" si="18"/>
        <v>281209.5</v>
      </c>
    </row>
    <row r="248" spans="1:34" s="231" customFormat="1" ht="26">
      <c r="A248" s="350" t="s">
        <v>269</v>
      </c>
      <c r="B248" s="347" t="s">
        <v>188</v>
      </c>
      <c r="C248" s="347"/>
      <c r="D248" s="347"/>
      <c r="E248" s="346"/>
      <c r="F248" s="347"/>
      <c r="G248" s="346"/>
      <c r="H248" s="346"/>
      <c r="I248" s="346"/>
      <c r="J248" s="346"/>
      <c r="K248" s="346"/>
      <c r="L248" s="346"/>
      <c r="M248" s="346"/>
      <c r="N248" s="357"/>
      <c r="O248" s="357"/>
      <c r="P248" s="357"/>
      <c r="Q248" s="357"/>
      <c r="R248" s="346"/>
      <c r="S248" s="346"/>
      <c r="T248" s="346"/>
      <c r="U248" s="346">
        <v>1</v>
      </c>
      <c r="V248" s="346"/>
      <c r="W248" s="346"/>
      <c r="X248" s="346"/>
      <c r="Y248" s="346"/>
      <c r="Z248" s="346"/>
      <c r="AA248" s="346"/>
      <c r="AB248" s="346"/>
      <c r="AC248" s="346">
        <f t="shared" si="16"/>
        <v>1</v>
      </c>
      <c r="AD248" s="346" t="s">
        <v>1</v>
      </c>
      <c r="AE248" s="346" t="s">
        <v>66</v>
      </c>
      <c r="AF248" s="350" t="s">
        <v>31</v>
      </c>
      <c r="AG248" s="346">
        <v>0.01</v>
      </c>
      <c r="AH248" s="358">
        <f t="shared" si="18"/>
        <v>281209.5</v>
      </c>
    </row>
    <row r="249" spans="1:34" s="231" customFormat="1" ht="52">
      <c r="A249" s="350" t="s">
        <v>271</v>
      </c>
      <c r="B249" s="347" t="s">
        <v>523</v>
      </c>
      <c r="C249" s="347"/>
      <c r="D249" s="347"/>
      <c r="E249" s="346"/>
      <c r="F249" s="347"/>
      <c r="G249" s="346"/>
      <c r="H249" s="346"/>
      <c r="I249" s="346"/>
      <c r="J249" s="346"/>
      <c r="K249" s="346"/>
      <c r="L249" s="346"/>
      <c r="M249" s="346"/>
      <c r="N249" s="357"/>
      <c r="O249" s="357"/>
      <c r="P249" s="357"/>
      <c r="Q249" s="357"/>
      <c r="R249" s="346"/>
      <c r="S249" s="346"/>
      <c r="T249" s="346"/>
      <c r="U249" s="346"/>
      <c r="V249" s="346">
        <v>1</v>
      </c>
      <c r="W249" s="346"/>
      <c r="X249" s="346"/>
      <c r="Y249" s="346"/>
      <c r="Z249" s="346"/>
      <c r="AA249" s="346"/>
      <c r="AB249" s="346"/>
      <c r="AC249" s="346">
        <f t="shared" si="16"/>
        <v>1</v>
      </c>
      <c r="AD249" s="346" t="s">
        <v>51</v>
      </c>
      <c r="AE249" s="346" t="s">
        <v>67</v>
      </c>
      <c r="AF249" s="350" t="s">
        <v>31</v>
      </c>
      <c r="AG249" s="346">
        <v>0.02</v>
      </c>
      <c r="AH249" s="358">
        <f t="shared" si="18"/>
        <v>320867.25</v>
      </c>
    </row>
    <row r="250" spans="1:34" s="231" customFormat="1" ht="26">
      <c r="A250" s="350" t="s">
        <v>273</v>
      </c>
      <c r="B250" s="347" t="s">
        <v>859</v>
      </c>
      <c r="C250" s="347"/>
      <c r="D250" s="347"/>
      <c r="E250" s="346"/>
      <c r="F250" s="347"/>
      <c r="G250" s="346"/>
      <c r="H250" s="346"/>
      <c r="I250" s="346"/>
      <c r="J250" s="346"/>
      <c r="K250" s="346"/>
      <c r="L250" s="346"/>
      <c r="M250" s="346"/>
      <c r="N250" s="357"/>
      <c r="O250" s="357"/>
      <c r="P250" s="357"/>
      <c r="Q250" s="357"/>
      <c r="R250" s="346"/>
      <c r="S250" s="346"/>
      <c r="T250" s="346"/>
      <c r="U250" s="346"/>
      <c r="V250" s="346">
        <v>1</v>
      </c>
      <c r="W250" s="346"/>
      <c r="X250" s="346"/>
      <c r="Y250" s="346"/>
      <c r="Z250" s="346"/>
      <c r="AA250" s="346"/>
      <c r="AB250" s="346"/>
      <c r="AC250" s="346">
        <f t="shared" si="16"/>
        <v>1</v>
      </c>
      <c r="AD250" s="346" t="s">
        <v>663</v>
      </c>
      <c r="AE250" s="346" t="s">
        <v>67</v>
      </c>
      <c r="AF250" s="350" t="s">
        <v>31</v>
      </c>
      <c r="AG250" s="346">
        <v>32</v>
      </c>
      <c r="AH250" s="358">
        <f t="shared" si="18"/>
        <v>320867.25</v>
      </c>
    </row>
    <row r="251" spans="1:34" s="183" customFormat="1" ht="18" customHeight="1">
      <c r="A251" s="413" t="s">
        <v>128</v>
      </c>
      <c r="B251" s="911" t="s">
        <v>191</v>
      </c>
      <c r="C251" s="911"/>
      <c r="D251" s="911"/>
      <c r="E251" s="911"/>
      <c r="F251" s="911"/>
      <c r="G251" s="911"/>
      <c r="H251" s="911"/>
      <c r="I251" s="911"/>
      <c r="J251" s="911"/>
      <c r="K251" s="911"/>
      <c r="L251" s="911"/>
      <c r="M251" s="911"/>
      <c r="N251" s="911"/>
      <c r="O251" s="911"/>
      <c r="P251" s="911"/>
      <c r="Q251" s="911"/>
      <c r="R251" s="911"/>
      <c r="S251" s="911"/>
      <c r="T251" s="911"/>
      <c r="U251" s="911"/>
      <c r="V251" s="911"/>
      <c r="W251" s="911"/>
      <c r="X251" s="911"/>
      <c r="Y251" s="911"/>
      <c r="Z251" s="911"/>
      <c r="AA251" s="911"/>
      <c r="AB251" s="911"/>
      <c r="AC251" s="911"/>
      <c r="AD251" s="911"/>
      <c r="AE251" s="911"/>
      <c r="AF251" s="911"/>
      <c r="AG251" s="911"/>
      <c r="AH251" s="414"/>
    </row>
    <row r="252" spans="1:34" s="183" customFormat="1">
      <c r="A252" s="350" t="s">
        <v>32</v>
      </c>
      <c r="B252" s="347" t="s">
        <v>192</v>
      </c>
      <c r="C252" s="347"/>
      <c r="D252" s="347"/>
      <c r="E252" s="346"/>
      <c r="F252" s="347"/>
      <c r="G252" s="346"/>
      <c r="H252" s="346"/>
      <c r="I252" s="346"/>
      <c r="J252" s="346"/>
      <c r="K252" s="346"/>
      <c r="L252" s="346"/>
      <c r="M252" s="346"/>
      <c r="N252" s="357"/>
      <c r="O252" s="357"/>
      <c r="P252" s="357"/>
      <c r="Q252" s="357"/>
      <c r="R252" s="346"/>
      <c r="S252" s="346"/>
      <c r="T252" s="346"/>
      <c r="U252" s="346"/>
      <c r="V252" s="346"/>
      <c r="W252" s="346"/>
      <c r="X252" s="346"/>
      <c r="Y252" s="346"/>
      <c r="Z252" s="346"/>
      <c r="AA252" s="346"/>
      <c r="AB252" s="346"/>
      <c r="AC252" s="346">
        <f t="shared" ref="AC252:AC258" si="19">SUM(E252:AB252)</f>
        <v>0</v>
      </c>
      <c r="AD252" s="346"/>
      <c r="AE252" s="346"/>
      <c r="AF252" s="350"/>
      <c r="AG252" s="346"/>
      <c r="AH252" s="358">
        <f t="shared" si="18"/>
        <v>0</v>
      </c>
    </row>
    <row r="253" spans="1:34" s="183" customFormat="1" ht="26">
      <c r="A253" s="350" t="s">
        <v>132</v>
      </c>
      <c r="B253" s="347" t="s">
        <v>423</v>
      </c>
      <c r="C253" s="347"/>
      <c r="D253" s="347"/>
      <c r="E253" s="346"/>
      <c r="F253" s="347"/>
      <c r="G253" s="346"/>
      <c r="H253" s="346"/>
      <c r="I253" s="346"/>
      <c r="J253" s="346"/>
      <c r="K253" s="346"/>
      <c r="L253" s="346"/>
      <c r="M253" s="346"/>
      <c r="N253" s="357"/>
      <c r="O253" s="357"/>
      <c r="P253" s="357"/>
      <c r="Q253" s="357"/>
      <c r="R253" s="346"/>
      <c r="S253" s="346"/>
      <c r="T253" s="346"/>
      <c r="U253" s="346"/>
      <c r="V253" s="346"/>
      <c r="W253" s="346"/>
      <c r="X253" s="346">
        <v>1</v>
      </c>
      <c r="Y253" s="346"/>
      <c r="Z253" s="346"/>
      <c r="AA253" s="346"/>
      <c r="AB253" s="346"/>
      <c r="AC253" s="346">
        <f t="shared" si="19"/>
        <v>1</v>
      </c>
      <c r="AD253" s="346" t="s">
        <v>198</v>
      </c>
      <c r="AE253" s="346" t="s">
        <v>69</v>
      </c>
      <c r="AF253" s="350" t="s">
        <v>31</v>
      </c>
      <c r="AG253" s="346">
        <v>1200</v>
      </c>
      <c r="AH253" s="358">
        <f t="shared" ref="AH253:AH258" si="20">(E253*E$6+F253*F$6+G253*G$6+H253*H$6+I253*I$6+J253*J$6+K253*K$6+L253*L$6+M253*M$6+N253*N$6+O253*O$6+P253*P$6+Q253*Q$6+R253*R$6+S253*S$6+T253*T$6+U253*U$6+V253*V$6+W253*W$6+X253*X$6+Y253*Y$6+Z253*Z$6+AA253*AA$6+AB253*AB$6)</f>
        <v>400182.75</v>
      </c>
    </row>
    <row r="254" spans="1:34" s="183" customFormat="1">
      <c r="A254" s="350" t="s">
        <v>133</v>
      </c>
      <c r="B254" s="347" t="s">
        <v>194</v>
      </c>
      <c r="C254" s="347"/>
      <c r="D254" s="347"/>
      <c r="E254" s="346"/>
      <c r="F254" s="347"/>
      <c r="G254" s="346"/>
      <c r="H254" s="346"/>
      <c r="I254" s="346"/>
      <c r="J254" s="346"/>
      <c r="K254" s="346"/>
      <c r="L254" s="346"/>
      <c r="M254" s="346"/>
      <c r="N254" s="357"/>
      <c r="O254" s="357"/>
      <c r="P254" s="357"/>
      <c r="Q254" s="357"/>
      <c r="R254" s="346"/>
      <c r="S254" s="346"/>
      <c r="T254" s="346"/>
      <c r="U254" s="346"/>
      <c r="V254" s="346"/>
      <c r="W254" s="346"/>
      <c r="X254" s="346">
        <v>1</v>
      </c>
      <c r="Y254" s="346"/>
      <c r="Z254" s="346"/>
      <c r="AA254" s="346"/>
      <c r="AB254" s="346"/>
      <c r="AC254" s="346">
        <f t="shared" si="19"/>
        <v>1</v>
      </c>
      <c r="AD254" s="346" t="s">
        <v>1</v>
      </c>
      <c r="AE254" s="346" t="s">
        <v>69</v>
      </c>
      <c r="AF254" s="350" t="s">
        <v>31</v>
      </c>
      <c r="AG254" s="369">
        <v>0.01</v>
      </c>
      <c r="AH254" s="358">
        <f t="shared" si="20"/>
        <v>400182.75</v>
      </c>
    </row>
    <row r="255" spans="1:34" s="183" customFormat="1" ht="26">
      <c r="A255" s="350" t="s">
        <v>33</v>
      </c>
      <c r="B255" s="347" t="s">
        <v>195</v>
      </c>
      <c r="C255" s="347"/>
      <c r="D255" s="347"/>
      <c r="E255" s="346"/>
      <c r="F255" s="347"/>
      <c r="G255" s="346"/>
      <c r="H255" s="346"/>
      <c r="I255" s="346"/>
      <c r="J255" s="346"/>
      <c r="K255" s="346"/>
      <c r="L255" s="346"/>
      <c r="M255" s="346"/>
      <c r="N255" s="357"/>
      <c r="O255" s="357"/>
      <c r="P255" s="357"/>
      <c r="Q255" s="357"/>
      <c r="R255" s="346"/>
      <c r="S255" s="346"/>
      <c r="T255" s="346"/>
      <c r="U255" s="346"/>
      <c r="V255" s="346"/>
      <c r="W255" s="346"/>
      <c r="X255" s="346"/>
      <c r="Y255" s="346"/>
      <c r="Z255" s="346"/>
      <c r="AA255" s="346"/>
      <c r="AB255" s="346"/>
      <c r="AC255" s="346">
        <f t="shared" si="19"/>
        <v>0</v>
      </c>
      <c r="AD255" s="346"/>
      <c r="AE255" s="346"/>
      <c r="AF255" s="350"/>
      <c r="AG255" s="346"/>
      <c r="AH255" s="358">
        <f t="shared" si="20"/>
        <v>0</v>
      </c>
    </row>
    <row r="256" spans="1:34" s="183" customFormat="1">
      <c r="A256" s="350" t="s">
        <v>131</v>
      </c>
      <c r="B256" s="347" t="s">
        <v>196</v>
      </c>
      <c r="C256" s="347"/>
      <c r="D256" s="347"/>
      <c r="E256" s="346"/>
      <c r="F256" s="347"/>
      <c r="G256" s="346"/>
      <c r="H256" s="346"/>
      <c r="I256" s="346"/>
      <c r="J256" s="346"/>
      <c r="K256" s="346"/>
      <c r="L256" s="346"/>
      <c r="M256" s="346"/>
      <c r="N256" s="357"/>
      <c r="O256" s="357"/>
      <c r="P256" s="357"/>
      <c r="Q256" s="357"/>
      <c r="R256" s="346"/>
      <c r="S256" s="346"/>
      <c r="T256" s="346"/>
      <c r="U256" s="346"/>
      <c r="V256" s="346"/>
      <c r="W256" s="346"/>
      <c r="X256" s="346">
        <v>1</v>
      </c>
      <c r="Y256" s="346"/>
      <c r="Z256" s="346"/>
      <c r="AA256" s="346"/>
      <c r="AB256" s="346"/>
      <c r="AC256" s="346">
        <f t="shared" si="19"/>
        <v>1</v>
      </c>
      <c r="AD256" s="346" t="s">
        <v>143</v>
      </c>
      <c r="AE256" s="346" t="s">
        <v>69</v>
      </c>
      <c r="AF256" s="350" t="s">
        <v>31</v>
      </c>
      <c r="AG256" s="346">
        <v>2.5000000000000001E-2</v>
      </c>
      <c r="AH256" s="358">
        <f t="shared" si="20"/>
        <v>400182.75</v>
      </c>
    </row>
    <row r="257" spans="1:36" s="183" customFormat="1">
      <c r="A257" s="350" t="s">
        <v>134</v>
      </c>
      <c r="B257" s="347" t="s">
        <v>436</v>
      </c>
      <c r="C257" s="347"/>
      <c r="D257" s="347"/>
      <c r="E257" s="346"/>
      <c r="F257" s="347"/>
      <c r="G257" s="346"/>
      <c r="H257" s="346"/>
      <c r="I257" s="346"/>
      <c r="J257" s="346"/>
      <c r="K257" s="346"/>
      <c r="L257" s="346"/>
      <c r="M257" s="346"/>
      <c r="N257" s="357"/>
      <c r="O257" s="357"/>
      <c r="P257" s="357"/>
      <c r="Q257" s="357"/>
      <c r="R257" s="346"/>
      <c r="S257" s="346"/>
      <c r="T257" s="346"/>
      <c r="U257" s="346"/>
      <c r="V257" s="346"/>
      <c r="W257" s="346"/>
      <c r="X257" s="346">
        <v>1</v>
      </c>
      <c r="Y257" s="346"/>
      <c r="Z257" s="346"/>
      <c r="AA257" s="346"/>
      <c r="AB257" s="346"/>
      <c r="AC257" s="346">
        <f t="shared" si="19"/>
        <v>1</v>
      </c>
      <c r="AD257" s="346" t="s">
        <v>198</v>
      </c>
      <c r="AE257" s="346" t="s">
        <v>69</v>
      </c>
      <c r="AF257" s="350" t="s">
        <v>31</v>
      </c>
      <c r="AG257" s="346">
        <v>8</v>
      </c>
      <c r="AH257" s="358">
        <f t="shared" si="20"/>
        <v>400182.75</v>
      </c>
    </row>
    <row r="258" spans="1:36" s="183" customFormat="1" ht="26">
      <c r="A258" s="350" t="s">
        <v>34</v>
      </c>
      <c r="B258" s="347" t="s">
        <v>686</v>
      </c>
      <c r="C258" s="347"/>
      <c r="D258" s="347"/>
      <c r="E258" s="346"/>
      <c r="F258" s="347"/>
      <c r="G258" s="346"/>
      <c r="H258" s="346"/>
      <c r="I258" s="346"/>
      <c r="J258" s="346"/>
      <c r="K258" s="346"/>
      <c r="L258" s="346"/>
      <c r="M258" s="346"/>
      <c r="N258" s="357"/>
      <c r="O258" s="357"/>
      <c r="P258" s="357"/>
      <c r="Q258" s="357"/>
      <c r="R258" s="346"/>
      <c r="S258" s="346"/>
      <c r="T258" s="346"/>
      <c r="U258" s="346"/>
      <c r="V258" s="346"/>
      <c r="W258" s="346"/>
      <c r="X258" s="346">
        <v>1</v>
      </c>
      <c r="Y258" s="346"/>
      <c r="Z258" s="346"/>
      <c r="AA258" s="346"/>
      <c r="AB258" s="346"/>
      <c r="AC258" s="346">
        <f t="shared" si="19"/>
        <v>1</v>
      </c>
      <c r="AD258" s="346" t="s">
        <v>219</v>
      </c>
      <c r="AE258" s="346" t="s">
        <v>69</v>
      </c>
      <c r="AF258" s="350" t="s">
        <v>31</v>
      </c>
      <c r="AG258" s="346">
        <v>32</v>
      </c>
      <c r="AH258" s="358">
        <f t="shared" si="20"/>
        <v>400182.75</v>
      </c>
    </row>
    <row r="259" spans="1:36">
      <c r="A259" s="65" t="s">
        <v>129</v>
      </c>
      <c r="B259" s="286" t="s">
        <v>246</v>
      </c>
      <c r="C259" s="287"/>
      <c r="D259" s="287"/>
      <c r="E259" s="287"/>
      <c r="F259" s="287"/>
      <c r="G259" s="287"/>
      <c r="H259" s="287"/>
      <c r="I259" s="287"/>
      <c r="J259" s="287"/>
      <c r="K259" s="287"/>
      <c r="L259" s="287"/>
      <c r="M259" s="287"/>
      <c r="N259" s="287"/>
      <c r="O259" s="287"/>
      <c r="P259" s="287"/>
      <c r="Q259" s="287"/>
      <c r="R259" s="287"/>
      <c r="S259" s="287"/>
      <c r="T259" s="287"/>
      <c r="U259" s="287"/>
      <c r="V259" s="287"/>
      <c r="W259" s="287"/>
      <c r="X259" s="287"/>
      <c r="Y259" s="287"/>
      <c r="Z259" s="287"/>
      <c r="AA259" s="287"/>
      <c r="AB259" s="287"/>
      <c r="AC259" s="287"/>
      <c r="AD259" s="287"/>
      <c r="AE259" s="287"/>
      <c r="AF259" s="287"/>
      <c r="AG259" s="287"/>
      <c r="AH259" s="182"/>
    </row>
    <row r="260" spans="1:36" ht="51.65" customHeight="1">
      <c r="A260" s="47" t="s">
        <v>32</v>
      </c>
      <c r="B260" s="876" t="s">
        <v>860</v>
      </c>
      <c r="C260" s="877"/>
      <c r="D260" s="877"/>
      <c r="E260" s="877"/>
      <c r="F260" s="877"/>
      <c r="G260" s="877"/>
      <c r="H260" s="877"/>
      <c r="I260" s="877"/>
      <c r="J260" s="877"/>
      <c r="K260" s="877"/>
      <c r="L260" s="877"/>
      <c r="M260" s="877"/>
      <c r="N260" s="877"/>
      <c r="O260" s="877"/>
      <c r="P260" s="877"/>
      <c r="Q260" s="877"/>
      <c r="R260" s="877"/>
      <c r="S260" s="877"/>
      <c r="T260" s="877"/>
      <c r="U260" s="877"/>
      <c r="V260" s="877"/>
      <c r="W260" s="877"/>
      <c r="X260" s="877"/>
      <c r="Y260" s="877"/>
      <c r="Z260" s="877"/>
      <c r="AA260" s="877"/>
      <c r="AB260" s="877"/>
      <c r="AC260" s="877"/>
      <c r="AD260" s="877"/>
      <c r="AE260" s="877"/>
      <c r="AF260" s="878"/>
      <c r="AG260" s="44">
        <v>1.3</v>
      </c>
      <c r="AH260" s="67"/>
    </row>
    <row r="261" spans="1:36" ht="40.15" customHeight="1">
      <c r="A261" s="47" t="s">
        <v>33</v>
      </c>
      <c r="B261" s="876" t="s">
        <v>861</v>
      </c>
      <c r="C261" s="877"/>
      <c r="D261" s="877"/>
      <c r="E261" s="877"/>
      <c r="F261" s="877"/>
      <c r="G261" s="877"/>
      <c r="H261" s="877"/>
      <c r="I261" s="877"/>
      <c r="J261" s="877"/>
      <c r="K261" s="877"/>
      <c r="L261" s="877"/>
      <c r="M261" s="877"/>
      <c r="N261" s="877"/>
      <c r="O261" s="877"/>
      <c r="P261" s="877"/>
      <c r="Q261" s="877"/>
      <c r="R261" s="877"/>
      <c r="S261" s="877"/>
      <c r="T261" s="877"/>
      <c r="U261" s="877"/>
      <c r="V261" s="877"/>
      <c r="W261" s="877"/>
      <c r="X261" s="877"/>
      <c r="Y261" s="877"/>
      <c r="Z261" s="877"/>
      <c r="AA261" s="877"/>
      <c r="AB261" s="877"/>
      <c r="AC261" s="877"/>
      <c r="AD261" s="877"/>
      <c r="AE261" s="877"/>
      <c r="AF261" s="878"/>
      <c r="AG261" s="45" t="s">
        <v>454</v>
      </c>
      <c r="AH261" s="67"/>
    </row>
    <row r="262" spans="1:36" ht="27" customHeight="1">
      <c r="A262" s="47" t="s">
        <v>34</v>
      </c>
      <c r="B262" s="876" t="s">
        <v>683</v>
      </c>
      <c r="C262" s="877"/>
      <c r="D262" s="877"/>
      <c r="E262" s="877"/>
      <c r="F262" s="877"/>
      <c r="G262" s="877"/>
      <c r="H262" s="877"/>
      <c r="I262" s="877"/>
      <c r="J262" s="877"/>
      <c r="K262" s="877"/>
      <c r="L262" s="877"/>
      <c r="M262" s="877"/>
      <c r="N262" s="877"/>
      <c r="O262" s="877"/>
      <c r="P262" s="877"/>
      <c r="Q262" s="877"/>
      <c r="R262" s="877"/>
      <c r="S262" s="877"/>
      <c r="T262" s="877"/>
      <c r="U262" s="877"/>
      <c r="V262" s="877"/>
      <c r="W262" s="877"/>
      <c r="X262" s="877"/>
      <c r="Y262" s="877"/>
      <c r="Z262" s="877"/>
      <c r="AA262" s="877"/>
      <c r="AB262" s="877"/>
      <c r="AC262" s="877"/>
      <c r="AD262" s="877"/>
      <c r="AE262" s="877"/>
      <c r="AF262" s="878"/>
      <c r="AG262" s="44"/>
      <c r="AH262" s="67"/>
    </row>
    <row r="263" spans="1:36" ht="27" customHeight="1">
      <c r="A263" s="47" t="s">
        <v>154</v>
      </c>
      <c r="B263" s="876" t="s">
        <v>862</v>
      </c>
      <c r="C263" s="877"/>
      <c r="D263" s="877"/>
      <c r="E263" s="877"/>
      <c r="F263" s="877"/>
      <c r="G263" s="877"/>
      <c r="H263" s="877"/>
      <c r="I263" s="877"/>
      <c r="J263" s="877"/>
      <c r="K263" s="877"/>
      <c r="L263" s="877"/>
      <c r="M263" s="877"/>
      <c r="N263" s="877"/>
      <c r="O263" s="877"/>
      <c r="P263" s="877"/>
      <c r="Q263" s="877"/>
      <c r="R263" s="877"/>
      <c r="S263" s="877"/>
      <c r="T263" s="877"/>
      <c r="U263" s="877"/>
      <c r="V263" s="877"/>
      <c r="W263" s="877"/>
      <c r="X263" s="877"/>
      <c r="Y263" s="877"/>
      <c r="Z263" s="877"/>
      <c r="AA263" s="877"/>
      <c r="AB263" s="877"/>
      <c r="AC263" s="877"/>
      <c r="AD263" s="877"/>
      <c r="AE263" s="877"/>
      <c r="AF263" s="878"/>
      <c r="AG263" s="44"/>
      <c r="AH263" s="67"/>
    </row>
    <row r="264" spans="1:36" ht="27.65" customHeight="1">
      <c r="A264" s="47" t="s">
        <v>155</v>
      </c>
      <c r="B264" s="876" t="s">
        <v>863</v>
      </c>
      <c r="C264" s="877"/>
      <c r="D264" s="877"/>
      <c r="E264" s="877"/>
      <c r="F264" s="877"/>
      <c r="G264" s="877"/>
      <c r="H264" s="877"/>
      <c r="I264" s="877"/>
      <c r="J264" s="877"/>
      <c r="K264" s="877"/>
      <c r="L264" s="877"/>
      <c r="M264" s="877"/>
      <c r="N264" s="877"/>
      <c r="O264" s="877"/>
      <c r="P264" s="877"/>
      <c r="Q264" s="877"/>
      <c r="R264" s="877"/>
      <c r="S264" s="877"/>
      <c r="T264" s="877"/>
      <c r="U264" s="877"/>
      <c r="V264" s="877"/>
      <c r="W264" s="877"/>
      <c r="X264" s="877"/>
      <c r="Y264" s="877"/>
      <c r="Z264" s="877"/>
      <c r="AA264" s="877"/>
      <c r="AB264" s="877"/>
      <c r="AC264" s="877"/>
      <c r="AD264" s="877"/>
      <c r="AE264" s="877"/>
      <c r="AF264" s="878"/>
      <c r="AG264" s="44">
        <v>1.5</v>
      </c>
      <c r="AH264" s="67"/>
    </row>
    <row r="265" spans="1:36" ht="28.5" customHeight="1">
      <c r="A265" s="47" t="s">
        <v>156</v>
      </c>
      <c r="B265" s="876" t="s">
        <v>864</v>
      </c>
      <c r="C265" s="877"/>
      <c r="D265" s="877"/>
      <c r="E265" s="877"/>
      <c r="F265" s="877"/>
      <c r="G265" s="877"/>
      <c r="H265" s="877"/>
      <c r="I265" s="877"/>
      <c r="J265" s="877"/>
      <c r="K265" s="877"/>
      <c r="L265" s="877"/>
      <c r="M265" s="877"/>
      <c r="N265" s="877"/>
      <c r="O265" s="877"/>
      <c r="P265" s="877"/>
      <c r="Q265" s="877"/>
      <c r="R265" s="877"/>
      <c r="S265" s="877"/>
      <c r="T265" s="877"/>
      <c r="U265" s="877"/>
      <c r="V265" s="877"/>
      <c r="W265" s="877"/>
      <c r="X265" s="877"/>
      <c r="Y265" s="877"/>
      <c r="Z265" s="877"/>
      <c r="AA265" s="877"/>
      <c r="AB265" s="877"/>
      <c r="AC265" s="877"/>
      <c r="AD265" s="877"/>
      <c r="AE265" s="877"/>
      <c r="AF265" s="878"/>
      <c r="AG265" s="44">
        <v>0.9</v>
      </c>
      <c r="AH265" s="67"/>
    </row>
    <row r="266" spans="1:36" ht="33.75" customHeight="1">
      <c r="A266" s="47" t="s">
        <v>157</v>
      </c>
      <c r="B266" s="876" t="s">
        <v>865</v>
      </c>
      <c r="C266" s="877"/>
      <c r="D266" s="877"/>
      <c r="E266" s="877"/>
      <c r="F266" s="877"/>
      <c r="G266" s="877"/>
      <c r="H266" s="877"/>
      <c r="I266" s="877"/>
      <c r="J266" s="877"/>
      <c r="K266" s="877"/>
      <c r="L266" s="877"/>
      <c r="M266" s="877"/>
      <c r="N266" s="877"/>
      <c r="O266" s="877"/>
      <c r="P266" s="877"/>
      <c r="Q266" s="877"/>
      <c r="R266" s="877"/>
      <c r="S266" s="877"/>
      <c r="T266" s="877"/>
      <c r="U266" s="877"/>
      <c r="V266" s="877"/>
      <c r="W266" s="877"/>
      <c r="X266" s="877"/>
      <c r="Y266" s="877"/>
      <c r="Z266" s="877"/>
      <c r="AA266" s="877"/>
      <c r="AB266" s="877"/>
      <c r="AC266" s="877"/>
      <c r="AD266" s="877"/>
      <c r="AE266" s="877"/>
      <c r="AF266" s="878"/>
      <c r="AG266" s="44"/>
      <c r="AH266" s="67"/>
    </row>
    <row r="267" spans="1:36" ht="27.65" customHeight="1">
      <c r="A267" s="47" t="s">
        <v>158</v>
      </c>
      <c r="B267" s="876" t="s">
        <v>866</v>
      </c>
      <c r="C267" s="877"/>
      <c r="D267" s="877"/>
      <c r="E267" s="877"/>
      <c r="F267" s="877"/>
      <c r="G267" s="877"/>
      <c r="H267" s="877"/>
      <c r="I267" s="877"/>
      <c r="J267" s="877"/>
      <c r="K267" s="877"/>
      <c r="L267" s="877"/>
      <c r="M267" s="877"/>
      <c r="N267" s="877"/>
      <c r="O267" s="877"/>
      <c r="P267" s="877"/>
      <c r="Q267" s="877"/>
      <c r="R267" s="877"/>
      <c r="S267" s="877"/>
      <c r="T267" s="877"/>
      <c r="U267" s="877"/>
      <c r="V267" s="877"/>
      <c r="W267" s="877"/>
      <c r="X267" s="877"/>
      <c r="Y267" s="877"/>
      <c r="Z267" s="877"/>
      <c r="AA267" s="877"/>
      <c r="AB267" s="877"/>
      <c r="AC267" s="877"/>
      <c r="AD267" s="877"/>
      <c r="AE267" s="877"/>
      <c r="AF267" s="878"/>
      <c r="AG267" s="44"/>
      <c r="AH267" s="67"/>
    </row>
    <row r="268" spans="1:36" ht="48.75" customHeight="1">
      <c r="A268" s="596" t="s">
        <v>109</v>
      </c>
      <c r="B268" s="913" t="s">
        <v>688</v>
      </c>
      <c r="C268" s="913"/>
      <c r="D268" s="913"/>
      <c r="E268" s="913"/>
      <c r="F268" s="913"/>
      <c r="G268" s="913"/>
      <c r="H268" s="913"/>
      <c r="I268" s="913"/>
      <c r="J268" s="913"/>
      <c r="K268" s="913"/>
      <c r="L268" s="913"/>
      <c r="M268" s="913"/>
      <c r="N268" s="913"/>
      <c r="O268" s="913"/>
      <c r="P268" s="913"/>
      <c r="Q268" s="913"/>
      <c r="R268" s="913"/>
      <c r="S268" s="913"/>
      <c r="T268" s="913"/>
      <c r="U268" s="913"/>
      <c r="V268" s="913"/>
      <c r="W268" s="913"/>
      <c r="X268" s="913"/>
      <c r="Y268" s="913"/>
      <c r="Z268" s="913"/>
      <c r="AA268" s="913"/>
      <c r="AB268" s="913"/>
      <c r="AC268" s="913"/>
      <c r="AD268" s="913"/>
      <c r="AE268" s="913"/>
      <c r="AF268" s="913"/>
      <c r="AG268" s="359"/>
      <c r="AH268" s="359"/>
      <c r="AI268" s="359"/>
      <c r="AJ268" s="340" t="s">
        <v>304</v>
      </c>
    </row>
    <row r="269" spans="1:36" s="38" customFormat="1" ht="22.15" customHeight="1">
      <c r="A269" s="597" t="s">
        <v>135</v>
      </c>
      <c r="B269" s="890" t="s">
        <v>869</v>
      </c>
      <c r="C269" s="890"/>
      <c r="D269" s="890"/>
      <c r="E269" s="890"/>
      <c r="F269" s="890"/>
      <c r="G269" s="890"/>
      <c r="H269" s="890"/>
      <c r="I269" s="890"/>
      <c r="J269" s="890"/>
      <c r="K269" s="890"/>
      <c r="L269" s="890"/>
      <c r="M269" s="890"/>
      <c r="N269" s="890"/>
      <c r="O269" s="890"/>
      <c r="P269" s="890"/>
      <c r="Q269" s="890"/>
      <c r="R269" s="890"/>
      <c r="S269" s="890"/>
      <c r="T269" s="890"/>
      <c r="U269" s="890"/>
      <c r="V269" s="890"/>
      <c r="W269" s="890"/>
      <c r="X269" s="890"/>
      <c r="Y269" s="890"/>
      <c r="Z269" s="890"/>
      <c r="AA269" s="890"/>
      <c r="AB269" s="890"/>
      <c r="AC269" s="890"/>
      <c r="AD269" s="890"/>
      <c r="AE269" s="890"/>
      <c r="AF269" s="890"/>
      <c r="AG269" s="233" t="s">
        <v>209</v>
      </c>
      <c r="AH269" s="233" t="s">
        <v>210</v>
      </c>
      <c r="AI269" s="233" t="s">
        <v>211</v>
      </c>
      <c r="AJ269" s="600"/>
    </row>
    <row r="270" spans="1:36" s="231" customFormat="1" ht="26">
      <c r="A270" s="350" t="s">
        <v>32</v>
      </c>
      <c r="B270" s="347" t="s">
        <v>223</v>
      </c>
      <c r="C270" s="347"/>
      <c r="D270" s="347"/>
      <c r="E270" s="346"/>
      <c r="F270" s="347"/>
      <c r="G270" s="346"/>
      <c r="H270" s="346"/>
      <c r="I270" s="346"/>
      <c r="J270" s="346"/>
      <c r="K270" s="346"/>
      <c r="L270" s="346"/>
      <c r="M270" s="346"/>
      <c r="N270" s="357"/>
      <c r="O270" s="357"/>
      <c r="P270" s="357"/>
      <c r="Q270" s="357"/>
      <c r="R270" s="346"/>
      <c r="S270" s="346"/>
      <c r="T270" s="346"/>
      <c r="U270" s="346"/>
      <c r="V270" s="346"/>
      <c r="W270" s="346"/>
      <c r="X270" s="346"/>
      <c r="Y270" s="346"/>
      <c r="Z270" s="346"/>
      <c r="AA270" s="346"/>
      <c r="AB270" s="346"/>
      <c r="AC270" s="346">
        <f t="shared" ref="AC270:AC314" si="21">SUM(E270:AB270)</f>
        <v>0</v>
      </c>
      <c r="AD270" s="346"/>
      <c r="AE270" s="346"/>
      <c r="AF270" s="350"/>
      <c r="AG270" s="346"/>
      <c r="AH270" s="358"/>
      <c r="AI270" s="347"/>
      <c r="AJ270" s="358">
        <f t="shared" ref="AJ270:AJ376" si="22">(E270*E$6+F270*F$6+G270*G$6+H270*H$6+I270*I$6+J270*J$6+K270*K$6+L270*L$6+M270*M$6+N270*N$6+O270*O$6+P270*P$6+Q270*Q$6+R270*R$6+S270*S$6+T270*T$6+U270*U$6+V270*V$6+W270*W$6+X270*X$6+Y270*Y$6+Z270*Z$6+AA270*AA$6+AB270*AB$6)</f>
        <v>0</v>
      </c>
    </row>
    <row r="271" spans="1:36" s="410" customFormat="1" ht="14">
      <c r="A271" s="400" t="s">
        <v>132</v>
      </c>
      <c r="B271" s="365" t="s">
        <v>149</v>
      </c>
      <c r="C271" s="365"/>
      <c r="D271" s="365"/>
      <c r="E271" s="430"/>
      <c r="F271" s="365"/>
      <c r="G271" s="430"/>
      <c r="H271" s="430"/>
      <c r="I271" s="346"/>
      <c r="J271" s="346"/>
      <c r="K271" s="346"/>
      <c r="L271" s="346"/>
      <c r="M271" s="346"/>
      <c r="N271" s="357"/>
      <c r="O271" s="357"/>
      <c r="P271" s="357"/>
      <c r="Q271" s="357"/>
      <c r="R271" s="346"/>
      <c r="S271" s="346"/>
      <c r="T271" s="346"/>
      <c r="U271" s="346"/>
      <c r="V271" s="346">
        <v>1</v>
      </c>
      <c r="W271" s="346"/>
      <c r="X271" s="346"/>
      <c r="Y271" s="346"/>
      <c r="Z271" s="346"/>
      <c r="AA271" s="346"/>
      <c r="AB271" s="346"/>
      <c r="AC271" s="346">
        <f t="shared" si="21"/>
        <v>1</v>
      </c>
      <c r="AD271" s="346" t="s">
        <v>51</v>
      </c>
      <c r="AE271" s="346" t="s">
        <v>67</v>
      </c>
      <c r="AF271" s="350" t="s">
        <v>31</v>
      </c>
      <c r="AG271" s="369">
        <v>0.15</v>
      </c>
      <c r="AH271" s="369">
        <v>0.15</v>
      </c>
      <c r="AI271" s="370">
        <v>0.19500000000000001</v>
      </c>
      <c r="AJ271" s="358">
        <f t="shared" si="22"/>
        <v>320867.25</v>
      </c>
    </row>
    <row r="272" spans="1:36" s="410" customFormat="1" ht="14">
      <c r="A272" s="563" t="s">
        <v>133</v>
      </c>
      <c r="B272" s="564" t="s">
        <v>151</v>
      </c>
      <c r="C272" s="564"/>
      <c r="D272" s="564"/>
      <c r="E272" s="439"/>
      <c r="F272" s="564"/>
      <c r="G272" s="439"/>
      <c r="H272" s="439"/>
      <c r="I272" s="311"/>
      <c r="J272" s="311"/>
      <c r="K272" s="311"/>
      <c r="L272" s="311"/>
      <c r="M272" s="311"/>
      <c r="N272" s="367"/>
      <c r="O272" s="367"/>
      <c r="P272" s="367"/>
      <c r="Q272" s="367"/>
      <c r="R272" s="311"/>
      <c r="S272" s="311"/>
      <c r="T272" s="311"/>
      <c r="U272" s="311"/>
      <c r="V272" s="311">
        <v>1</v>
      </c>
      <c r="W272" s="311"/>
      <c r="X272" s="311"/>
      <c r="Y272" s="311"/>
      <c r="Z272" s="311"/>
      <c r="AA272" s="311"/>
      <c r="AB272" s="311"/>
      <c r="AC272" s="311">
        <f t="shared" si="21"/>
        <v>1</v>
      </c>
      <c r="AD272" s="311" t="s">
        <v>51</v>
      </c>
      <c r="AE272" s="311" t="s">
        <v>67</v>
      </c>
      <c r="AF272" s="569" t="s">
        <v>31</v>
      </c>
      <c r="AG272" s="415">
        <v>0.1</v>
      </c>
      <c r="AH272" s="415">
        <v>0.1</v>
      </c>
      <c r="AI272" s="581">
        <v>0.13</v>
      </c>
      <c r="AJ272" s="374">
        <f t="shared" si="22"/>
        <v>320867.25</v>
      </c>
    </row>
    <row r="273" spans="1:36" s="231" customFormat="1" ht="39">
      <c r="A273" s="350" t="s">
        <v>33</v>
      </c>
      <c r="B273" s="347" t="s">
        <v>199</v>
      </c>
      <c r="C273" s="347"/>
      <c r="D273" s="347"/>
      <c r="E273" s="346"/>
      <c r="F273" s="347"/>
      <c r="G273" s="346"/>
      <c r="H273" s="346"/>
      <c r="I273" s="346"/>
      <c r="J273" s="346"/>
      <c r="K273" s="346"/>
      <c r="L273" s="346"/>
      <c r="M273" s="346"/>
      <c r="N273" s="357"/>
      <c r="O273" s="357"/>
      <c r="P273" s="357"/>
      <c r="Q273" s="357"/>
      <c r="R273" s="346"/>
      <c r="S273" s="346"/>
      <c r="T273" s="346"/>
      <c r="U273" s="346"/>
      <c r="V273" s="346">
        <v>1</v>
      </c>
      <c r="W273" s="346"/>
      <c r="X273" s="346"/>
      <c r="Y273" s="346"/>
      <c r="Z273" s="346"/>
      <c r="AA273" s="346"/>
      <c r="AB273" s="346"/>
      <c r="AC273" s="346">
        <f t="shared" si="21"/>
        <v>1</v>
      </c>
      <c r="AD273" s="346" t="s">
        <v>51</v>
      </c>
      <c r="AE273" s="346" t="s">
        <v>67</v>
      </c>
      <c r="AF273" s="350" t="s">
        <v>31</v>
      </c>
      <c r="AG273" s="369">
        <v>0.2</v>
      </c>
      <c r="AH273" s="369">
        <v>0.2</v>
      </c>
      <c r="AI273" s="370">
        <v>0.26</v>
      </c>
      <c r="AJ273" s="358">
        <f t="shared" si="22"/>
        <v>320867.25</v>
      </c>
    </row>
    <row r="274" spans="1:36" s="231" customFormat="1" ht="26">
      <c r="A274" s="350" t="s">
        <v>34</v>
      </c>
      <c r="B274" s="347" t="s">
        <v>153</v>
      </c>
      <c r="C274" s="347"/>
      <c r="D274" s="347"/>
      <c r="E274" s="346"/>
      <c r="F274" s="347"/>
      <c r="G274" s="346"/>
      <c r="H274" s="346"/>
      <c r="I274" s="346"/>
      <c r="J274" s="346"/>
      <c r="K274" s="346"/>
      <c r="L274" s="346"/>
      <c r="M274" s="346"/>
      <c r="N274" s="357"/>
      <c r="O274" s="357"/>
      <c r="P274" s="357"/>
      <c r="Q274" s="357"/>
      <c r="R274" s="346"/>
      <c r="S274" s="346"/>
      <c r="T274" s="346"/>
      <c r="U274" s="346"/>
      <c r="V274" s="346"/>
      <c r="W274" s="346">
        <v>1</v>
      </c>
      <c r="X274" s="346"/>
      <c r="Y274" s="346"/>
      <c r="Z274" s="346"/>
      <c r="AA274" s="346"/>
      <c r="AB274" s="346"/>
      <c r="AC274" s="346">
        <f t="shared" si="21"/>
        <v>1</v>
      </c>
      <c r="AD274" s="346" t="s">
        <v>1</v>
      </c>
      <c r="AE274" s="346" t="s">
        <v>104</v>
      </c>
      <c r="AF274" s="350" t="s">
        <v>31</v>
      </c>
      <c r="AG274" s="346">
        <v>0.107</v>
      </c>
      <c r="AH274" s="442">
        <v>3.3000000000000002E-2</v>
      </c>
      <c r="AI274" s="347">
        <v>0.16700000000000001</v>
      </c>
      <c r="AJ274" s="358">
        <f t="shared" si="22"/>
        <v>360525</v>
      </c>
    </row>
    <row r="275" spans="1:36" s="231" customFormat="1" ht="26">
      <c r="A275" s="350" t="s">
        <v>154</v>
      </c>
      <c r="B275" s="347" t="s">
        <v>184</v>
      </c>
      <c r="C275" s="347"/>
      <c r="D275" s="347"/>
      <c r="E275" s="346"/>
      <c r="F275" s="347"/>
      <c r="G275" s="346"/>
      <c r="H275" s="346"/>
      <c r="I275" s="346"/>
      <c r="J275" s="346"/>
      <c r="K275" s="346"/>
      <c r="L275" s="346"/>
      <c r="M275" s="346"/>
      <c r="N275" s="357"/>
      <c r="O275" s="357"/>
      <c r="P275" s="357"/>
      <c r="Q275" s="357"/>
      <c r="R275" s="346"/>
      <c r="S275" s="346"/>
      <c r="T275" s="346"/>
      <c r="U275" s="346"/>
      <c r="V275" s="346"/>
      <c r="W275" s="346"/>
      <c r="X275" s="346"/>
      <c r="Y275" s="346"/>
      <c r="Z275" s="346"/>
      <c r="AA275" s="346"/>
      <c r="AB275" s="346"/>
      <c r="AC275" s="346">
        <f>SUM(E275:AB275)</f>
        <v>0</v>
      </c>
      <c r="AD275" s="346"/>
      <c r="AE275" s="346"/>
      <c r="AF275" s="350"/>
      <c r="AG275" s="346"/>
      <c r="AH275" s="358"/>
      <c r="AI275" s="347"/>
      <c r="AJ275" s="358">
        <f>(E275*E$6+F275*F$6+G275*G$6+H275*H$6+I275*I$6+J275*J$6+K275*K$6+L275*L$6+M275*M$6+N275*N$6+O275*O$6+P275*P$6+Q275*Q$6+R275*R$6+S275*S$6+T275*T$6+U275*U$6+V275*V$6+W275*W$6+X275*X$6+Y275*Y$6+Z275*Z$6+AA275*AA$6+AB275*AB$6)</f>
        <v>0</v>
      </c>
    </row>
    <row r="276" spans="1:36" s="410" customFormat="1" ht="14">
      <c r="A276" s="400" t="s">
        <v>213</v>
      </c>
      <c r="B276" s="365" t="s">
        <v>185</v>
      </c>
      <c r="C276" s="365"/>
      <c r="D276" s="365"/>
      <c r="E276" s="430"/>
      <c r="F276" s="365"/>
      <c r="G276" s="430"/>
      <c r="H276" s="430"/>
      <c r="I276" s="430"/>
      <c r="J276" s="430"/>
      <c r="K276" s="430"/>
      <c r="L276" s="430"/>
      <c r="M276" s="430"/>
      <c r="N276" s="427"/>
      <c r="O276" s="427"/>
      <c r="P276" s="427"/>
      <c r="Q276" s="427"/>
      <c r="R276" s="430"/>
      <c r="S276" s="430"/>
      <c r="T276" s="430"/>
      <c r="U276" s="430">
        <v>1</v>
      </c>
      <c r="V276" s="430"/>
      <c r="W276" s="430"/>
      <c r="X276" s="430"/>
      <c r="Y276" s="430"/>
      <c r="Z276" s="430"/>
      <c r="AA276" s="430"/>
      <c r="AB276" s="430"/>
      <c r="AC276" s="430">
        <f>SUM(E276:AB276)</f>
        <v>1</v>
      </c>
      <c r="AD276" s="430" t="s">
        <v>444</v>
      </c>
      <c r="AE276" s="430" t="s">
        <v>66</v>
      </c>
      <c r="AF276" s="400" t="s">
        <v>31</v>
      </c>
      <c r="AG276" s="430">
        <v>1.6E-2</v>
      </c>
      <c r="AH276" s="430">
        <v>0.02</v>
      </c>
      <c r="AI276" s="430">
        <v>2.4E-2</v>
      </c>
      <c r="AJ276" s="432">
        <f>(E276*E$6+F276*F$6+G276*G$6+H276*H$6+I276*I$6+J276*J$6+K276*K$6+L276*L$6+M276*M$6+N276*N$6+O276*O$6+P276*P$6+Q276*Q$6+R276*R$6+S276*S$6+T276*T$6+U276*U$6+V276*V$6+W276*W$6+X276*X$6+Y276*Y$6+Z276*Z$6+AA276*AA$6+AB276*AB$6)</f>
        <v>281209.5</v>
      </c>
    </row>
    <row r="277" spans="1:36" s="410" customFormat="1" ht="14">
      <c r="A277" s="400" t="s">
        <v>214</v>
      </c>
      <c r="B277" s="365" t="s">
        <v>186</v>
      </c>
      <c r="C277" s="365"/>
      <c r="D277" s="365"/>
      <c r="E277" s="430"/>
      <c r="F277" s="365"/>
      <c r="G277" s="430"/>
      <c r="H277" s="430"/>
      <c r="I277" s="430"/>
      <c r="J277" s="430"/>
      <c r="K277" s="430"/>
      <c r="L277" s="430"/>
      <c r="M277" s="430"/>
      <c r="N277" s="427"/>
      <c r="O277" s="427"/>
      <c r="P277" s="427"/>
      <c r="Q277" s="427"/>
      <c r="R277" s="430"/>
      <c r="S277" s="430"/>
      <c r="T277" s="430"/>
      <c r="U277" s="430">
        <v>1</v>
      </c>
      <c r="V277" s="430"/>
      <c r="W277" s="430"/>
      <c r="X277" s="430"/>
      <c r="Y277" s="430"/>
      <c r="Z277" s="430"/>
      <c r="AA277" s="430"/>
      <c r="AB277" s="430"/>
      <c r="AC277" s="430">
        <f>SUM(E277:AB277)</f>
        <v>1</v>
      </c>
      <c r="AD277" s="430" t="s">
        <v>444</v>
      </c>
      <c r="AE277" s="430" t="s">
        <v>66</v>
      </c>
      <c r="AF277" s="400" t="s">
        <v>31</v>
      </c>
      <c r="AG277" s="430">
        <v>8.0000000000000002E-3</v>
      </c>
      <c r="AH277" s="430">
        <v>0.01</v>
      </c>
      <c r="AI277" s="430">
        <v>1.2E-2</v>
      </c>
      <c r="AJ277" s="432">
        <f>(E277*E$6+F277*F$6+G277*G$6+H277*H$6+I277*I$6+J277*J$6+K277*K$6+L277*L$6+M277*M$6+N277*N$6+O277*O$6+P277*P$6+Q277*Q$6+R277*R$6+S277*S$6+T277*T$6+U277*U$6+V277*V$6+W277*W$6+X277*X$6+Y277*Y$6+Z277*Z$6+AA277*AA$6+AB277*AB$6)</f>
        <v>281209.5</v>
      </c>
    </row>
    <row r="278" spans="1:36" s="231" customFormat="1" ht="39">
      <c r="A278" s="350" t="s">
        <v>155</v>
      </c>
      <c r="B278" s="347" t="s">
        <v>187</v>
      </c>
      <c r="C278" s="347"/>
      <c r="D278" s="347"/>
      <c r="E278" s="346"/>
      <c r="F278" s="347"/>
      <c r="G278" s="346"/>
      <c r="H278" s="346"/>
      <c r="I278" s="346"/>
      <c r="J278" s="346"/>
      <c r="K278" s="346"/>
      <c r="L278" s="346"/>
      <c r="M278" s="346"/>
      <c r="N278" s="357"/>
      <c r="O278" s="357"/>
      <c r="P278" s="357"/>
      <c r="Q278" s="357"/>
      <c r="R278" s="346"/>
      <c r="S278" s="346"/>
      <c r="T278" s="346"/>
      <c r="U278" s="346">
        <v>1</v>
      </c>
      <c r="V278" s="346"/>
      <c r="W278" s="346"/>
      <c r="X278" s="346"/>
      <c r="Y278" s="346"/>
      <c r="Z278" s="346"/>
      <c r="AA278" s="346"/>
      <c r="AB278" s="346"/>
      <c r="AC278" s="346">
        <f>SUM(E278:AB278)</f>
        <v>1</v>
      </c>
      <c r="AD278" s="346" t="s">
        <v>444</v>
      </c>
      <c r="AE278" s="346" t="s">
        <v>66</v>
      </c>
      <c r="AF278" s="350" t="s">
        <v>31</v>
      </c>
      <c r="AG278" s="346">
        <v>4.0000000000000001E-3</v>
      </c>
      <c r="AH278" s="346">
        <v>5.0000000000000001E-3</v>
      </c>
      <c r="AI278" s="346">
        <v>6.0000000000000001E-3</v>
      </c>
      <c r="AJ278" s="358">
        <f>(E278*E$6+F278*F$6+G278*G$6+H278*H$6+I278*I$6+J278*J$6+K278*K$6+L278*L$6+M278*M$6+N278*N$6+O278*O$6+P278*P$6+Q278*Q$6+R278*R$6+S278*S$6+T278*T$6+U278*U$6+V278*V$6+W278*W$6+X278*X$6+Y278*Y$6+Z278*Z$6+AA278*AA$6+AB278*AB$6)</f>
        <v>281209.5</v>
      </c>
    </row>
    <row r="279" spans="1:36" s="231" customFormat="1" ht="14">
      <c r="A279" s="311">
        <v>6</v>
      </c>
      <c r="B279" s="312" t="s">
        <v>467</v>
      </c>
      <c r="C279" s="312"/>
      <c r="D279" s="312"/>
      <c r="E279" s="346"/>
      <c r="F279" s="347"/>
      <c r="G279" s="346"/>
      <c r="H279" s="346"/>
      <c r="I279" s="346"/>
      <c r="J279" s="346"/>
      <c r="K279" s="346"/>
      <c r="L279" s="346"/>
      <c r="M279" s="346"/>
      <c r="N279" s="357"/>
      <c r="O279" s="357"/>
      <c r="P279" s="357"/>
      <c r="Q279" s="357"/>
      <c r="R279" s="346"/>
      <c r="S279" s="346"/>
      <c r="T279" s="346"/>
      <c r="U279" s="346"/>
      <c r="V279" s="346"/>
      <c r="W279" s="346"/>
      <c r="X279" s="346"/>
      <c r="Y279" s="346"/>
      <c r="Z279" s="346"/>
      <c r="AA279" s="346"/>
      <c r="AB279" s="346"/>
      <c r="AC279" s="346"/>
      <c r="AD279" s="346"/>
      <c r="AE279" s="346"/>
      <c r="AF279" s="350"/>
      <c r="AG279" s="346"/>
      <c r="AH279" s="358"/>
      <c r="AI279" s="347"/>
      <c r="AJ279" s="358"/>
    </row>
    <row r="280" spans="1:36" s="410" customFormat="1" ht="14">
      <c r="A280" s="439">
        <v>6.1</v>
      </c>
      <c r="B280" s="440" t="s">
        <v>149</v>
      </c>
      <c r="C280" s="440"/>
      <c r="D280" s="440"/>
      <c r="E280" s="430"/>
      <c r="F280" s="365"/>
      <c r="G280" s="430"/>
      <c r="H280" s="430"/>
      <c r="I280" s="430"/>
      <c r="J280" s="430"/>
      <c r="K280" s="430"/>
      <c r="L280" s="430"/>
      <c r="M280" s="430"/>
      <c r="N280" s="427"/>
      <c r="O280" s="427"/>
      <c r="P280" s="427"/>
      <c r="Q280" s="427"/>
      <c r="R280" s="430"/>
      <c r="S280" s="430"/>
      <c r="T280" s="430"/>
      <c r="U280" s="430"/>
      <c r="V280" s="430">
        <v>1</v>
      </c>
      <c r="W280" s="430"/>
      <c r="X280" s="430"/>
      <c r="Y280" s="430"/>
      <c r="Z280" s="430"/>
      <c r="AA280" s="430"/>
      <c r="AB280" s="430"/>
      <c r="AC280" s="430">
        <f t="shared" si="21"/>
        <v>1</v>
      </c>
      <c r="AD280" s="430" t="s">
        <v>51</v>
      </c>
      <c r="AE280" s="430" t="s">
        <v>67</v>
      </c>
      <c r="AF280" s="304" t="s">
        <v>31</v>
      </c>
      <c r="AG280" s="430">
        <v>0.05</v>
      </c>
      <c r="AH280" s="430">
        <v>0.05</v>
      </c>
      <c r="AI280" s="430">
        <v>0.05</v>
      </c>
      <c r="AJ280" s="432">
        <f t="shared" si="22"/>
        <v>320867.25</v>
      </c>
    </row>
    <row r="281" spans="1:36" s="410" customFormat="1" ht="14">
      <c r="A281" s="439">
        <v>6.2</v>
      </c>
      <c r="B281" s="440" t="s">
        <v>151</v>
      </c>
      <c r="C281" s="440"/>
      <c r="D281" s="440"/>
      <c r="E281" s="430"/>
      <c r="F281" s="365"/>
      <c r="G281" s="430"/>
      <c r="H281" s="430"/>
      <c r="I281" s="430"/>
      <c r="J281" s="430"/>
      <c r="K281" s="430"/>
      <c r="L281" s="430"/>
      <c r="M281" s="430"/>
      <c r="N281" s="427"/>
      <c r="O281" s="427"/>
      <c r="P281" s="427"/>
      <c r="Q281" s="427"/>
      <c r="R281" s="430"/>
      <c r="S281" s="430"/>
      <c r="T281" s="430"/>
      <c r="U281" s="430"/>
      <c r="V281" s="430">
        <v>1</v>
      </c>
      <c r="W281" s="430"/>
      <c r="X281" s="430"/>
      <c r="Y281" s="430"/>
      <c r="Z281" s="430"/>
      <c r="AA281" s="430"/>
      <c r="AB281" s="430"/>
      <c r="AC281" s="430">
        <f t="shared" si="21"/>
        <v>1</v>
      </c>
      <c r="AD281" s="430" t="s">
        <v>51</v>
      </c>
      <c r="AE281" s="430" t="s">
        <v>67</v>
      </c>
      <c r="AF281" s="304" t="s">
        <v>31</v>
      </c>
      <c r="AG281" s="430">
        <v>0.04</v>
      </c>
      <c r="AH281" s="430">
        <v>0.04</v>
      </c>
      <c r="AI281" s="430">
        <v>0.04</v>
      </c>
      <c r="AJ281" s="432">
        <f t="shared" si="22"/>
        <v>320867.25</v>
      </c>
    </row>
    <row r="282" spans="1:36" s="231" customFormat="1" ht="26">
      <c r="A282" s="350" t="s">
        <v>157</v>
      </c>
      <c r="B282" s="347" t="s">
        <v>506</v>
      </c>
      <c r="C282" s="347"/>
      <c r="D282" s="347"/>
      <c r="E282" s="346"/>
      <c r="F282" s="347"/>
      <c r="G282" s="346"/>
      <c r="H282" s="346"/>
      <c r="I282" s="346"/>
      <c r="J282" s="346"/>
      <c r="K282" s="346"/>
      <c r="L282" s="346"/>
      <c r="M282" s="346"/>
      <c r="N282" s="357"/>
      <c r="O282" s="357"/>
      <c r="P282" s="357"/>
      <c r="Q282" s="357"/>
      <c r="R282" s="346"/>
      <c r="S282" s="346"/>
      <c r="T282" s="346"/>
      <c r="U282" s="346"/>
      <c r="V282" s="346"/>
      <c r="W282" s="346"/>
      <c r="X282" s="346"/>
      <c r="Y282" s="346"/>
      <c r="Z282" s="346"/>
      <c r="AA282" s="346"/>
      <c r="AB282" s="346"/>
      <c r="AC282" s="346"/>
      <c r="AD282" s="346"/>
      <c r="AE282" s="346"/>
      <c r="AF282" s="350"/>
      <c r="AG282" s="346"/>
      <c r="AH282" s="358"/>
      <c r="AI282" s="347"/>
      <c r="AJ282" s="358"/>
    </row>
    <row r="283" spans="1:36" s="231" customFormat="1" ht="14">
      <c r="A283" s="350" t="s">
        <v>169</v>
      </c>
      <c r="B283" s="347" t="s">
        <v>549</v>
      </c>
      <c r="C283" s="347"/>
      <c r="D283" s="347"/>
      <c r="E283" s="346"/>
      <c r="F283" s="347"/>
      <c r="G283" s="346"/>
      <c r="H283" s="346"/>
      <c r="I283" s="346"/>
      <c r="J283" s="346"/>
      <c r="K283" s="346"/>
      <c r="L283" s="346"/>
      <c r="M283" s="346"/>
      <c r="N283" s="357"/>
      <c r="O283" s="357"/>
      <c r="P283" s="357"/>
      <c r="Q283" s="357"/>
      <c r="R283" s="346"/>
      <c r="S283" s="346"/>
      <c r="T283" s="346"/>
      <c r="U283" s="346"/>
      <c r="V283" s="346"/>
      <c r="W283" s="346"/>
      <c r="X283" s="346"/>
      <c r="Y283" s="346"/>
      <c r="Z283" s="346"/>
      <c r="AA283" s="346"/>
      <c r="AB283" s="346"/>
      <c r="AC283" s="346"/>
      <c r="AD283" s="346"/>
      <c r="AE283" s="346"/>
      <c r="AF283" s="350"/>
      <c r="AG283" s="346"/>
      <c r="AH283" s="358"/>
      <c r="AI283" s="347"/>
      <c r="AJ283" s="358"/>
    </row>
    <row r="284" spans="1:36" s="410" customFormat="1" ht="78">
      <c r="A284" s="439" t="s">
        <v>547</v>
      </c>
      <c r="B284" s="440" t="s">
        <v>464</v>
      </c>
      <c r="C284" s="440"/>
      <c r="D284" s="440"/>
      <c r="E284" s="430"/>
      <c r="F284" s="365"/>
      <c r="G284" s="430"/>
      <c r="H284" s="430"/>
      <c r="I284" s="430"/>
      <c r="J284" s="430"/>
      <c r="K284" s="430"/>
      <c r="L284" s="430"/>
      <c r="M284" s="430"/>
      <c r="N284" s="427"/>
      <c r="O284" s="427"/>
      <c r="P284" s="427"/>
      <c r="Q284" s="427"/>
      <c r="R284" s="430"/>
      <c r="S284" s="430"/>
      <c r="T284" s="430"/>
      <c r="U284" s="430"/>
      <c r="V284" s="430"/>
      <c r="W284" s="430">
        <v>1</v>
      </c>
      <c r="X284" s="430"/>
      <c r="Y284" s="430"/>
      <c r="Z284" s="430"/>
      <c r="AA284" s="430"/>
      <c r="AB284" s="430"/>
      <c r="AC284" s="430">
        <f t="shared" si="21"/>
        <v>1</v>
      </c>
      <c r="AD284" s="430" t="s">
        <v>51</v>
      </c>
      <c r="AE284" s="439" t="s">
        <v>104</v>
      </c>
      <c r="AF284" s="304" t="s">
        <v>31</v>
      </c>
      <c r="AG284" s="439">
        <v>0.1</v>
      </c>
      <c r="AH284" s="439">
        <v>0.1</v>
      </c>
      <c r="AI284" s="439">
        <v>0.1</v>
      </c>
      <c r="AJ284" s="432">
        <f t="shared" si="22"/>
        <v>360525</v>
      </c>
    </row>
    <row r="285" spans="1:36" s="410" customFormat="1" ht="65">
      <c r="A285" s="439" t="s">
        <v>548</v>
      </c>
      <c r="B285" s="440" t="s">
        <v>465</v>
      </c>
      <c r="C285" s="440"/>
      <c r="D285" s="440"/>
      <c r="E285" s="430"/>
      <c r="F285" s="365"/>
      <c r="G285" s="430"/>
      <c r="H285" s="430"/>
      <c r="I285" s="430"/>
      <c r="J285" s="430"/>
      <c r="K285" s="430"/>
      <c r="L285" s="430">
        <v>1</v>
      </c>
      <c r="M285" s="430"/>
      <c r="N285" s="427"/>
      <c r="O285" s="427"/>
      <c r="P285" s="427"/>
      <c r="Q285" s="427"/>
      <c r="R285" s="430"/>
      <c r="S285" s="430"/>
      <c r="T285" s="430"/>
      <c r="U285" s="430"/>
      <c r="V285" s="430">
        <v>1</v>
      </c>
      <c r="W285" s="430"/>
      <c r="X285" s="430"/>
      <c r="Y285" s="430"/>
      <c r="Z285" s="430"/>
      <c r="AA285" s="430"/>
      <c r="AB285" s="430"/>
      <c r="AC285" s="430">
        <f t="shared" si="21"/>
        <v>2</v>
      </c>
      <c r="AD285" s="430" t="s">
        <v>51</v>
      </c>
      <c r="AE285" s="439" t="s">
        <v>466</v>
      </c>
      <c r="AF285" s="304" t="s">
        <v>31</v>
      </c>
      <c r="AG285" s="439">
        <v>0.5</v>
      </c>
      <c r="AH285" s="439">
        <v>0.5</v>
      </c>
      <c r="AI285" s="439">
        <v>0.7</v>
      </c>
      <c r="AJ285" s="432">
        <f t="shared" si="22"/>
        <v>616497.75</v>
      </c>
    </row>
    <row r="286" spans="1:36" s="231" customFormat="1" ht="21" customHeight="1">
      <c r="A286" s="311">
        <v>7.2</v>
      </c>
      <c r="B286" s="312" t="s">
        <v>550</v>
      </c>
      <c r="C286" s="312"/>
      <c r="D286" s="312"/>
      <c r="E286" s="346"/>
      <c r="F286" s="347"/>
      <c r="G286" s="346"/>
      <c r="H286" s="346"/>
      <c r="I286" s="346"/>
      <c r="J286" s="346"/>
      <c r="K286" s="346"/>
      <c r="L286" s="346"/>
      <c r="M286" s="346"/>
      <c r="N286" s="357"/>
      <c r="O286" s="357"/>
      <c r="P286" s="357"/>
      <c r="Q286" s="357"/>
      <c r="R286" s="346"/>
      <c r="S286" s="346"/>
      <c r="T286" s="346"/>
      <c r="U286" s="346"/>
      <c r="V286" s="346"/>
      <c r="W286" s="346"/>
      <c r="X286" s="346"/>
      <c r="Y286" s="346"/>
      <c r="Z286" s="346"/>
      <c r="AA286" s="346"/>
      <c r="AB286" s="346"/>
      <c r="AC286" s="346"/>
      <c r="AD286" s="346"/>
      <c r="AE286" s="311"/>
      <c r="AF286" s="342"/>
      <c r="AG286" s="311"/>
      <c r="AH286" s="311"/>
      <c r="AI286" s="311"/>
      <c r="AJ286" s="358"/>
    </row>
    <row r="287" spans="1:36" s="410" customFormat="1" ht="52">
      <c r="A287" s="439" t="s">
        <v>551</v>
      </c>
      <c r="B287" s="440" t="s">
        <v>468</v>
      </c>
      <c r="C287" s="440"/>
      <c r="D287" s="440"/>
      <c r="E287" s="430"/>
      <c r="F287" s="365"/>
      <c r="G287" s="430"/>
      <c r="H287" s="430"/>
      <c r="I287" s="430"/>
      <c r="J287" s="430"/>
      <c r="K287" s="430"/>
      <c r="L287" s="430"/>
      <c r="M287" s="430"/>
      <c r="N287" s="427"/>
      <c r="O287" s="427"/>
      <c r="P287" s="427"/>
      <c r="Q287" s="427"/>
      <c r="R287" s="430"/>
      <c r="S287" s="430"/>
      <c r="T287" s="430"/>
      <c r="U287" s="430"/>
      <c r="V287" s="430"/>
      <c r="W287" s="430">
        <v>1</v>
      </c>
      <c r="X287" s="430"/>
      <c r="Y287" s="430"/>
      <c r="Z287" s="430"/>
      <c r="AA287" s="430"/>
      <c r="AB287" s="430"/>
      <c r="AC287" s="430">
        <f t="shared" si="21"/>
        <v>1</v>
      </c>
      <c r="AD287" s="430" t="s">
        <v>51</v>
      </c>
      <c r="AE287" s="439" t="s">
        <v>104</v>
      </c>
      <c r="AF287" s="304" t="s">
        <v>31</v>
      </c>
      <c r="AG287" s="451">
        <v>0.5</v>
      </c>
      <c r="AH287" s="451">
        <v>0.5</v>
      </c>
      <c r="AI287" s="451">
        <v>0.65</v>
      </c>
      <c r="AJ287" s="432">
        <f t="shared" si="22"/>
        <v>360525</v>
      </c>
    </row>
    <row r="288" spans="1:36" s="410" customFormat="1" ht="52">
      <c r="A288" s="439" t="s">
        <v>552</v>
      </c>
      <c r="B288" s="440" t="s">
        <v>664</v>
      </c>
      <c r="C288" s="440"/>
      <c r="D288" s="440"/>
      <c r="E288" s="430"/>
      <c r="F288" s="365"/>
      <c r="G288" s="430"/>
      <c r="H288" s="430"/>
      <c r="I288" s="430"/>
      <c r="J288" s="430"/>
      <c r="K288" s="430"/>
      <c r="L288" s="430"/>
      <c r="M288" s="430"/>
      <c r="N288" s="427"/>
      <c r="O288" s="427"/>
      <c r="P288" s="427"/>
      <c r="Q288" s="427"/>
      <c r="R288" s="430"/>
      <c r="S288" s="430"/>
      <c r="T288" s="430"/>
      <c r="U288" s="430"/>
      <c r="V288" s="430">
        <v>1</v>
      </c>
      <c r="W288" s="430"/>
      <c r="X288" s="430"/>
      <c r="Y288" s="430"/>
      <c r="Z288" s="430"/>
      <c r="AA288" s="430"/>
      <c r="AB288" s="430"/>
      <c r="AC288" s="430">
        <f t="shared" si="21"/>
        <v>1</v>
      </c>
      <c r="AD288" s="430" t="s">
        <v>51</v>
      </c>
      <c r="AE288" s="439" t="s">
        <v>67</v>
      </c>
      <c r="AF288" s="304" t="s">
        <v>31</v>
      </c>
      <c r="AG288" s="451">
        <v>0.15</v>
      </c>
      <c r="AH288" s="451">
        <v>0.15</v>
      </c>
      <c r="AI288" s="451">
        <v>0.19500000000000001</v>
      </c>
      <c r="AJ288" s="432">
        <f t="shared" si="22"/>
        <v>320867.25</v>
      </c>
    </row>
    <row r="289" spans="1:36" s="231" customFormat="1" ht="65">
      <c r="A289" s="311">
        <v>8</v>
      </c>
      <c r="B289" s="312" t="s">
        <v>665</v>
      </c>
      <c r="C289" s="312"/>
      <c r="D289" s="312"/>
      <c r="E289" s="311"/>
      <c r="F289" s="366"/>
      <c r="G289" s="311"/>
      <c r="H289" s="311"/>
      <c r="I289" s="311"/>
      <c r="J289" s="311"/>
      <c r="K289" s="311"/>
      <c r="L289" s="311">
        <v>1</v>
      </c>
      <c r="M289" s="311"/>
      <c r="N289" s="367"/>
      <c r="O289" s="367"/>
      <c r="P289" s="367"/>
      <c r="Q289" s="367"/>
      <c r="R289" s="311"/>
      <c r="S289" s="311"/>
      <c r="T289" s="311"/>
      <c r="U289" s="311"/>
      <c r="V289" s="311"/>
      <c r="W289" s="311"/>
      <c r="X289" s="311"/>
      <c r="Y289" s="311"/>
      <c r="Z289" s="311"/>
      <c r="AA289" s="311"/>
      <c r="AB289" s="311"/>
      <c r="AC289" s="311">
        <f>SUM(E289:AB289)</f>
        <v>1</v>
      </c>
      <c r="AD289" s="346" t="s">
        <v>51</v>
      </c>
      <c r="AE289" s="311" t="s">
        <v>106</v>
      </c>
      <c r="AF289" s="350" t="s">
        <v>31</v>
      </c>
      <c r="AG289" s="415">
        <v>0.06</v>
      </c>
      <c r="AH289" s="415">
        <v>0.06</v>
      </c>
      <c r="AI289" s="415">
        <v>7.8E-2</v>
      </c>
      <c r="AJ289" s="358">
        <f>(E289*E$6+F289*F$6+G289*G$6+H289*H$6+I289*I$6+J289*J$6+K289*K$6+L289*L$6+M289*M$6+N289*N$6+O289*O$6+P289*P$6+Q289*Q$6+R289*R$6+S289*S$6+T289*T$6+U289*U$6+V289*V$6+W289*W$6+X289*X$6+Y289*Y$6+Z289*Z$6+AA289*AA$6+AB289*AB$6)</f>
        <v>295630.50000000006</v>
      </c>
    </row>
    <row r="290" spans="1:36" s="231" customFormat="1" ht="26">
      <c r="A290" s="311">
        <v>9</v>
      </c>
      <c r="B290" s="312" t="s">
        <v>473</v>
      </c>
      <c r="C290" s="312"/>
      <c r="D290" s="312"/>
      <c r="E290" s="311"/>
      <c r="F290" s="366"/>
      <c r="G290" s="311"/>
      <c r="H290" s="311"/>
      <c r="I290" s="311"/>
      <c r="J290" s="311"/>
      <c r="K290" s="311"/>
      <c r="L290" s="311"/>
      <c r="M290" s="311"/>
      <c r="N290" s="367"/>
      <c r="O290" s="367"/>
      <c r="P290" s="367"/>
      <c r="Q290" s="367"/>
      <c r="R290" s="311"/>
      <c r="S290" s="311"/>
      <c r="T290" s="311"/>
      <c r="U290" s="311"/>
      <c r="V290" s="311"/>
      <c r="W290" s="311">
        <v>1</v>
      </c>
      <c r="X290" s="311"/>
      <c r="Y290" s="311"/>
      <c r="Z290" s="311"/>
      <c r="AA290" s="311"/>
      <c r="AB290" s="311"/>
      <c r="AC290" s="311">
        <f>SUM(E290:AB290)</f>
        <v>1</v>
      </c>
      <c r="AD290" s="346" t="s">
        <v>51</v>
      </c>
      <c r="AE290" s="311" t="s">
        <v>104</v>
      </c>
      <c r="AF290" s="342" t="s">
        <v>31</v>
      </c>
      <c r="AG290" s="367">
        <v>0.5</v>
      </c>
      <c r="AH290" s="367">
        <v>0.5</v>
      </c>
      <c r="AI290" s="367">
        <v>0.65</v>
      </c>
      <c r="AJ290" s="358">
        <f>(E290*E$6+F290*F$6+G290*G$6+H290*H$6+I290*I$6+J290*J$6+K290*K$6+L290*L$6+M290*M$6+N290*N$6+O290*O$6+P290*P$6+Q290*Q$6+R290*R$6+S290*S$6+T290*T$6+U290*U$6+V290*V$6+W290*W$6+X290*X$6+Y290*Y$6+Z290*Z$6+AA290*AA$6+AB290*AB$6)</f>
        <v>360525</v>
      </c>
    </row>
    <row r="291" spans="1:36" s="231" customFormat="1" ht="78">
      <c r="A291" s="311">
        <v>10</v>
      </c>
      <c r="B291" s="312" t="s">
        <v>553</v>
      </c>
      <c r="C291" s="312"/>
      <c r="D291" s="312"/>
      <c r="E291" s="311"/>
      <c r="F291" s="366"/>
      <c r="G291" s="311"/>
      <c r="H291" s="311"/>
      <c r="I291" s="311"/>
      <c r="J291" s="311"/>
      <c r="K291" s="311"/>
      <c r="L291" s="311"/>
      <c r="M291" s="311"/>
      <c r="N291" s="367"/>
      <c r="O291" s="367"/>
      <c r="P291" s="367"/>
      <c r="Q291" s="367"/>
      <c r="R291" s="311"/>
      <c r="S291" s="311"/>
      <c r="T291" s="311"/>
      <c r="U291" s="311"/>
      <c r="V291" s="311">
        <v>1</v>
      </c>
      <c r="W291" s="311"/>
      <c r="X291" s="311"/>
      <c r="Y291" s="311"/>
      <c r="Z291" s="311"/>
      <c r="AA291" s="311"/>
      <c r="AB291" s="311"/>
      <c r="AC291" s="311">
        <f>SUM(E291:AB291)</f>
        <v>1</v>
      </c>
      <c r="AD291" s="346" t="s">
        <v>51</v>
      </c>
      <c r="AE291" s="278" t="s">
        <v>67</v>
      </c>
      <c r="AF291" s="342" t="s">
        <v>31</v>
      </c>
      <c r="AG291" s="367">
        <v>0.15</v>
      </c>
      <c r="AH291" s="367">
        <v>0.15</v>
      </c>
      <c r="AI291" s="415">
        <v>0.19500000000000001</v>
      </c>
      <c r="AJ291" s="358">
        <f>(E291*E$6+F291*F$6+G291*G$6+H291*H$6+I291*I$6+J291*J$6+K291*K$6+L291*L$6+M291*M$6+N291*N$6+O291*O$6+P291*P$6+Q291*Q$6+R291*R$6+S291*S$6+T291*T$6+U291*U$6+V291*V$6+W291*W$6+X291*X$6+Y291*Y$6+Z291*Z$6+AA291*AA$6+AB291*AB$6)</f>
        <v>320867.25</v>
      </c>
    </row>
    <row r="292" spans="1:36" s="231" customFormat="1" ht="26">
      <c r="A292" s="350" t="s">
        <v>37</v>
      </c>
      <c r="B292" s="347" t="s">
        <v>666</v>
      </c>
      <c r="C292" s="347"/>
      <c r="D292" s="347"/>
      <c r="E292" s="346"/>
      <c r="F292" s="347"/>
      <c r="G292" s="346"/>
      <c r="H292" s="346"/>
      <c r="I292" s="346"/>
      <c r="J292" s="346"/>
      <c r="K292" s="346"/>
      <c r="L292" s="346"/>
      <c r="M292" s="346"/>
      <c r="N292" s="357"/>
      <c r="O292" s="357"/>
      <c r="P292" s="357"/>
      <c r="Q292" s="357"/>
      <c r="R292" s="346"/>
      <c r="S292" s="346"/>
      <c r="T292" s="346"/>
      <c r="U292" s="346"/>
      <c r="V292" s="346"/>
      <c r="W292" s="346">
        <v>1</v>
      </c>
      <c r="X292" s="346"/>
      <c r="Y292" s="346"/>
      <c r="Z292" s="346"/>
      <c r="AA292" s="346"/>
      <c r="AB292" s="346"/>
      <c r="AC292" s="346">
        <f t="shared" si="21"/>
        <v>1</v>
      </c>
      <c r="AD292" s="346" t="s">
        <v>1</v>
      </c>
      <c r="AE292" s="346" t="s">
        <v>104</v>
      </c>
      <c r="AF292" s="350" t="s">
        <v>31</v>
      </c>
      <c r="AG292" s="346">
        <v>6.0000000000000001E-3</v>
      </c>
      <c r="AH292" s="443">
        <v>6.0000000000000001E-3</v>
      </c>
      <c r="AI292" s="347">
        <v>6.0000000000000001E-3</v>
      </c>
      <c r="AJ292" s="358">
        <f t="shared" si="22"/>
        <v>360525</v>
      </c>
    </row>
    <row r="293" spans="1:36" s="231" customFormat="1" ht="26">
      <c r="A293" s="350" t="s">
        <v>179</v>
      </c>
      <c r="B293" s="347" t="s">
        <v>575</v>
      </c>
      <c r="C293" s="347"/>
      <c r="D293" s="347"/>
      <c r="E293" s="346"/>
      <c r="F293" s="347"/>
      <c r="G293" s="346"/>
      <c r="H293" s="346"/>
      <c r="I293" s="346"/>
      <c r="J293" s="346"/>
      <c r="K293" s="346"/>
      <c r="L293" s="346"/>
      <c r="M293" s="346"/>
      <c r="N293" s="357"/>
      <c r="O293" s="357"/>
      <c r="P293" s="357"/>
      <c r="Q293" s="357"/>
      <c r="R293" s="346"/>
      <c r="S293" s="346"/>
      <c r="T293" s="346"/>
      <c r="U293" s="346"/>
      <c r="V293" s="346"/>
      <c r="W293" s="346"/>
      <c r="X293" s="346"/>
      <c r="Y293" s="346"/>
      <c r="Z293" s="346"/>
      <c r="AA293" s="346"/>
      <c r="AB293" s="346"/>
      <c r="AC293" s="346">
        <f t="shared" si="21"/>
        <v>0</v>
      </c>
      <c r="AD293" s="346"/>
      <c r="AE293" s="346"/>
      <c r="AF293" s="350"/>
      <c r="AG293" s="346"/>
      <c r="AH293" s="358"/>
      <c r="AI293" s="347"/>
      <c r="AJ293" s="358">
        <f t="shared" si="22"/>
        <v>0</v>
      </c>
    </row>
    <row r="294" spans="1:36" s="410" customFormat="1" ht="14">
      <c r="A294" s="400" t="s">
        <v>217</v>
      </c>
      <c r="B294" s="365" t="s">
        <v>163</v>
      </c>
      <c r="C294" s="365"/>
      <c r="D294" s="365"/>
      <c r="E294" s="430"/>
      <c r="F294" s="365"/>
      <c r="G294" s="430"/>
      <c r="H294" s="430"/>
      <c r="I294" s="346"/>
      <c r="J294" s="346"/>
      <c r="K294" s="346"/>
      <c r="L294" s="346"/>
      <c r="M294" s="346"/>
      <c r="N294" s="357"/>
      <c r="O294" s="357"/>
      <c r="P294" s="357"/>
      <c r="Q294" s="357"/>
      <c r="R294" s="346"/>
      <c r="S294" s="346"/>
      <c r="T294" s="346"/>
      <c r="U294" s="346"/>
      <c r="V294" s="346">
        <v>1</v>
      </c>
      <c r="W294" s="346"/>
      <c r="X294" s="346"/>
      <c r="Y294" s="346"/>
      <c r="Z294" s="346"/>
      <c r="AA294" s="346"/>
      <c r="AB294" s="346"/>
      <c r="AC294" s="346">
        <f t="shared" si="21"/>
        <v>1</v>
      </c>
      <c r="AD294" s="346" t="s">
        <v>51</v>
      </c>
      <c r="AE294" s="346" t="s">
        <v>67</v>
      </c>
      <c r="AF294" s="350" t="s">
        <v>31</v>
      </c>
      <c r="AG294" s="369">
        <v>0.05</v>
      </c>
      <c r="AH294" s="370">
        <v>0</v>
      </c>
      <c r="AI294" s="370">
        <v>0.05</v>
      </c>
      <c r="AJ294" s="358">
        <f t="shared" si="22"/>
        <v>320867.25</v>
      </c>
    </row>
    <row r="295" spans="1:36" s="410" customFormat="1" ht="14">
      <c r="A295" s="563" t="s">
        <v>218</v>
      </c>
      <c r="B295" s="564" t="s">
        <v>164</v>
      </c>
      <c r="C295" s="564"/>
      <c r="D295" s="564"/>
      <c r="E295" s="439"/>
      <c r="F295" s="564"/>
      <c r="G295" s="439"/>
      <c r="H295" s="439"/>
      <c r="I295" s="311"/>
      <c r="J295" s="311"/>
      <c r="K295" s="311"/>
      <c r="L295" s="311"/>
      <c r="M295" s="311"/>
      <c r="N295" s="367"/>
      <c r="O295" s="367"/>
      <c r="P295" s="367"/>
      <c r="Q295" s="367"/>
      <c r="R295" s="311"/>
      <c r="S295" s="311"/>
      <c r="T295" s="311"/>
      <c r="U295" s="311"/>
      <c r="V295" s="311">
        <v>1</v>
      </c>
      <c r="W295" s="311"/>
      <c r="X295" s="311"/>
      <c r="Y295" s="311"/>
      <c r="Z295" s="311"/>
      <c r="AA295" s="311"/>
      <c r="AB295" s="311"/>
      <c r="AC295" s="311">
        <f t="shared" si="21"/>
        <v>1</v>
      </c>
      <c r="AD295" s="311" t="s">
        <v>51</v>
      </c>
      <c r="AE295" s="311" t="s">
        <v>67</v>
      </c>
      <c r="AF295" s="569" t="s">
        <v>31</v>
      </c>
      <c r="AG295" s="415">
        <v>0.1</v>
      </c>
      <c r="AH295" s="581">
        <v>0</v>
      </c>
      <c r="AI295" s="581">
        <v>0.1</v>
      </c>
      <c r="AJ295" s="374">
        <f t="shared" si="22"/>
        <v>320867.25</v>
      </c>
    </row>
    <row r="296" spans="1:36" s="410" customFormat="1" ht="26">
      <c r="A296" s="311">
        <v>13</v>
      </c>
      <c r="B296" s="312" t="s">
        <v>469</v>
      </c>
      <c r="C296" s="312"/>
      <c r="D296" s="312"/>
      <c r="E296" s="439"/>
      <c r="F296" s="564"/>
      <c r="G296" s="439"/>
      <c r="H296" s="439"/>
      <c r="I296" s="311"/>
      <c r="J296" s="311"/>
      <c r="K296" s="311"/>
      <c r="L296" s="311"/>
      <c r="M296" s="311"/>
      <c r="N296" s="367"/>
      <c r="O296" s="367"/>
      <c r="P296" s="367"/>
      <c r="Q296" s="367"/>
      <c r="R296" s="311"/>
      <c r="S296" s="311"/>
      <c r="T296" s="311"/>
      <c r="U296" s="311"/>
      <c r="V296" s="311"/>
      <c r="W296" s="311"/>
      <c r="X296" s="311"/>
      <c r="Y296" s="311"/>
      <c r="Z296" s="311"/>
      <c r="AA296" s="311"/>
      <c r="AB296" s="311"/>
      <c r="AC296" s="311"/>
      <c r="AD296" s="311"/>
      <c r="AE296" s="582"/>
      <c r="AF296" s="569"/>
      <c r="AG296" s="582"/>
      <c r="AH296" s="582"/>
      <c r="AI296" s="582"/>
      <c r="AJ296" s="374"/>
    </row>
    <row r="297" spans="1:36" s="410" customFormat="1" ht="14">
      <c r="A297" s="439">
        <v>13.1</v>
      </c>
      <c r="B297" s="440" t="s">
        <v>470</v>
      </c>
      <c r="C297" s="440"/>
      <c r="D297" s="440"/>
      <c r="E297" s="439"/>
      <c r="F297" s="564"/>
      <c r="G297" s="439"/>
      <c r="H297" s="439"/>
      <c r="I297" s="439"/>
      <c r="J297" s="439"/>
      <c r="K297" s="439"/>
      <c r="L297" s="439"/>
      <c r="M297" s="439"/>
      <c r="N297" s="575"/>
      <c r="O297" s="575"/>
      <c r="P297" s="575"/>
      <c r="Q297" s="575"/>
      <c r="R297" s="439"/>
      <c r="S297" s="439"/>
      <c r="T297" s="439"/>
      <c r="U297" s="439"/>
      <c r="V297" s="439"/>
      <c r="W297" s="439">
        <v>1</v>
      </c>
      <c r="X297" s="439"/>
      <c r="Y297" s="439"/>
      <c r="Z297" s="439"/>
      <c r="AA297" s="439"/>
      <c r="AB297" s="439"/>
      <c r="AC297" s="439">
        <f t="shared" si="21"/>
        <v>1</v>
      </c>
      <c r="AD297" s="439" t="s">
        <v>51</v>
      </c>
      <c r="AE297" s="439" t="s">
        <v>104</v>
      </c>
      <c r="AF297" s="568" t="s">
        <v>31</v>
      </c>
      <c r="AG297" s="451">
        <v>0.1</v>
      </c>
      <c r="AH297" s="451">
        <v>0.1</v>
      </c>
      <c r="AI297" s="451">
        <v>0.13</v>
      </c>
      <c r="AJ297" s="576">
        <f t="shared" si="22"/>
        <v>360525</v>
      </c>
    </row>
    <row r="298" spans="1:36" s="410" customFormat="1" ht="14">
      <c r="A298" s="439">
        <v>13.2</v>
      </c>
      <c r="B298" s="440" t="s">
        <v>471</v>
      </c>
      <c r="C298" s="440"/>
      <c r="D298" s="440"/>
      <c r="E298" s="439"/>
      <c r="F298" s="564"/>
      <c r="G298" s="439"/>
      <c r="H298" s="439"/>
      <c r="I298" s="439"/>
      <c r="J298" s="439"/>
      <c r="K298" s="439"/>
      <c r="L298" s="439"/>
      <c r="M298" s="439"/>
      <c r="N298" s="575"/>
      <c r="O298" s="575"/>
      <c r="P298" s="575"/>
      <c r="Q298" s="575"/>
      <c r="R298" s="439"/>
      <c r="S298" s="439"/>
      <c r="T298" s="439"/>
      <c r="U298" s="439"/>
      <c r="V298" s="439"/>
      <c r="W298" s="439">
        <v>1</v>
      </c>
      <c r="X298" s="439"/>
      <c r="Y298" s="439"/>
      <c r="Z298" s="439"/>
      <c r="AA298" s="439"/>
      <c r="AB298" s="439"/>
      <c r="AC298" s="439">
        <f t="shared" si="21"/>
        <v>1</v>
      </c>
      <c r="AD298" s="439" t="s">
        <v>51</v>
      </c>
      <c r="AE298" s="439" t="s">
        <v>104</v>
      </c>
      <c r="AF298" s="568" t="s">
        <v>31</v>
      </c>
      <c r="AG298" s="451">
        <v>0.2</v>
      </c>
      <c r="AH298" s="451">
        <v>0.2</v>
      </c>
      <c r="AI298" s="451">
        <v>0.26</v>
      </c>
      <c r="AJ298" s="576">
        <f t="shared" si="22"/>
        <v>360525</v>
      </c>
    </row>
    <row r="299" spans="1:36" s="410" customFormat="1" ht="26">
      <c r="A299" s="311">
        <v>14</v>
      </c>
      <c r="B299" s="312" t="s">
        <v>472</v>
      </c>
      <c r="C299" s="312"/>
      <c r="D299" s="312"/>
      <c r="E299" s="439"/>
      <c r="F299" s="564"/>
      <c r="G299" s="439"/>
      <c r="H299" s="439"/>
      <c r="I299" s="311"/>
      <c r="J299" s="311"/>
      <c r="K299" s="311"/>
      <c r="L299" s="311"/>
      <c r="M299" s="311"/>
      <c r="N299" s="367"/>
      <c r="O299" s="367"/>
      <c r="P299" s="367"/>
      <c r="Q299" s="367"/>
      <c r="R299" s="311"/>
      <c r="S299" s="311"/>
      <c r="T299" s="311"/>
      <c r="U299" s="311"/>
      <c r="V299" s="311"/>
      <c r="W299" s="311"/>
      <c r="X299" s="311"/>
      <c r="Y299" s="311"/>
      <c r="Z299" s="311"/>
      <c r="AA299" s="311"/>
      <c r="AB299" s="311"/>
      <c r="AC299" s="311"/>
      <c r="AD299" s="311"/>
      <c r="AE299" s="582"/>
      <c r="AF299" s="569"/>
      <c r="AG299" s="582"/>
      <c r="AH299" s="582"/>
      <c r="AI299" s="582"/>
      <c r="AJ299" s="374"/>
    </row>
    <row r="300" spans="1:36" s="410" customFormat="1" ht="14">
      <c r="A300" s="439">
        <v>14.1</v>
      </c>
      <c r="B300" s="440" t="s">
        <v>470</v>
      </c>
      <c r="C300" s="440"/>
      <c r="D300" s="440"/>
      <c r="E300" s="439"/>
      <c r="F300" s="564"/>
      <c r="G300" s="439"/>
      <c r="H300" s="439"/>
      <c r="I300" s="439"/>
      <c r="J300" s="439"/>
      <c r="K300" s="439"/>
      <c r="L300" s="439"/>
      <c r="M300" s="439"/>
      <c r="N300" s="575"/>
      <c r="O300" s="575"/>
      <c r="P300" s="575"/>
      <c r="Q300" s="575"/>
      <c r="R300" s="439"/>
      <c r="S300" s="439"/>
      <c r="T300" s="439"/>
      <c r="U300" s="439"/>
      <c r="V300" s="439">
        <v>1</v>
      </c>
      <c r="W300" s="439"/>
      <c r="X300" s="439"/>
      <c r="Y300" s="439"/>
      <c r="Z300" s="439"/>
      <c r="AA300" s="439"/>
      <c r="AB300" s="439"/>
      <c r="AC300" s="439">
        <f t="shared" si="21"/>
        <v>1</v>
      </c>
      <c r="AD300" s="439" t="s">
        <v>51</v>
      </c>
      <c r="AE300" s="439" t="s">
        <v>67</v>
      </c>
      <c r="AF300" s="568" t="s">
        <v>31</v>
      </c>
      <c r="AG300" s="439">
        <v>0.04</v>
      </c>
      <c r="AH300" s="439">
        <v>0.04</v>
      </c>
      <c r="AI300" s="439">
        <v>0.04</v>
      </c>
      <c r="AJ300" s="576">
        <f t="shared" si="22"/>
        <v>320867.25</v>
      </c>
    </row>
    <row r="301" spans="1:36" s="410" customFormat="1" ht="14">
      <c r="A301" s="439">
        <v>14.2</v>
      </c>
      <c r="B301" s="440" t="s">
        <v>471</v>
      </c>
      <c r="C301" s="440"/>
      <c r="D301" s="440"/>
      <c r="E301" s="439"/>
      <c r="F301" s="564"/>
      <c r="G301" s="439"/>
      <c r="H301" s="439"/>
      <c r="I301" s="439"/>
      <c r="J301" s="439"/>
      <c r="K301" s="439"/>
      <c r="L301" s="439"/>
      <c r="M301" s="439"/>
      <c r="N301" s="575"/>
      <c r="O301" s="575"/>
      <c r="P301" s="575"/>
      <c r="Q301" s="575"/>
      <c r="R301" s="439"/>
      <c r="S301" s="439"/>
      <c r="T301" s="439"/>
      <c r="U301" s="439"/>
      <c r="V301" s="439">
        <v>1</v>
      </c>
      <c r="W301" s="439"/>
      <c r="X301" s="439"/>
      <c r="Y301" s="439"/>
      <c r="Z301" s="439"/>
      <c r="AA301" s="439"/>
      <c r="AB301" s="439"/>
      <c r="AC301" s="439">
        <f t="shared" si="21"/>
        <v>1</v>
      </c>
      <c r="AD301" s="439" t="s">
        <v>51</v>
      </c>
      <c r="AE301" s="439" t="s">
        <v>67</v>
      </c>
      <c r="AF301" s="568" t="s">
        <v>31</v>
      </c>
      <c r="AG301" s="439">
        <v>0.03</v>
      </c>
      <c r="AH301" s="439">
        <v>0.03</v>
      </c>
      <c r="AI301" s="439">
        <v>0.03</v>
      </c>
      <c r="AJ301" s="576">
        <f t="shared" si="22"/>
        <v>320867.25</v>
      </c>
    </row>
    <row r="302" spans="1:36" s="231" customFormat="1" ht="26">
      <c r="A302" s="569" t="s">
        <v>189</v>
      </c>
      <c r="B302" s="366" t="s">
        <v>224</v>
      </c>
      <c r="C302" s="366"/>
      <c r="D302" s="366"/>
      <c r="E302" s="311"/>
      <c r="F302" s="366"/>
      <c r="G302" s="311"/>
      <c r="H302" s="311"/>
      <c r="I302" s="311"/>
      <c r="J302" s="311"/>
      <c r="K302" s="311"/>
      <c r="L302" s="311"/>
      <c r="M302" s="311"/>
      <c r="N302" s="367"/>
      <c r="O302" s="367"/>
      <c r="P302" s="367"/>
      <c r="Q302" s="367"/>
      <c r="R302" s="311"/>
      <c r="S302" s="311"/>
      <c r="T302" s="311"/>
      <c r="U302" s="311"/>
      <c r="V302" s="311"/>
      <c r="W302" s="311">
        <v>1</v>
      </c>
      <c r="X302" s="311"/>
      <c r="Y302" s="311"/>
      <c r="Z302" s="311"/>
      <c r="AA302" s="311"/>
      <c r="AB302" s="311"/>
      <c r="AC302" s="311">
        <f t="shared" si="21"/>
        <v>1</v>
      </c>
      <c r="AD302" s="311" t="s">
        <v>1</v>
      </c>
      <c r="AE302" s="311" t="s">
        <v>104</v>
      </c>
      <c r="AF302" s="569" t="s">
        <v>31</v>
      </c>
      <c r="AG302" s="415">
        <v>0.107</v>
      </c>
      <c r="AH302" s="581">
        <v>3.3000000000000002E-2</v>
      </c>
      <c r="AI302" s="581">
        <v>0.16700000000000001</v>
      </c>
      <c r="AJ302" s="374">
        <f t="shared" si="22"/>
        <v>360525</v>
      </c>
    </row>
    <row r="303" spans="1:36" s="231" customFormat="1" ht="14">
      <c r="A303" s="569" t="s">
        <v>190</v>
      </c>
      <c r="B303" s="366" t="s">
        <v>174</v>
      </c>
      <c r="C303" s="366"/>
      <c r="D303" s="366"/>
      <c r="E303" s="311"/>
      <c r="F303" s="366"/>
      <c r="G303" s="311"/>
      <c r="H303" s="311"/>
      <c r="I303" s="311"/>
      <c r="J303" s="311"/>
      <c r="K303" s="311"/>
      <c r="L303" s="311"/>
      <c r="M303" s="311"/>
      <c r="N303" s="367"/>
      <c r="O303" s="367"/>
      <c r="P303" s="367"/>
      <c r="Q303" s="367"/>
      <c r="R303" s="311"/>
      <c r="S303" s="311"/>
      <c r="T303" s="311"/>
      <c r="U303" s="311"/>
      <c r="V303" s="311"/>
      <c r="W303" s="311"/>
      <c r="X303" s="311"/>
      <c r="Y303" s="311"/>
      <c r="Z303" s="311"/>
      <c r="AA303" s="311"/>
      <c r="AB303" s="311"/>
      <c r="AC303" s="311">
        <f t="shared" si="21"/>
        <v>0</v>
      </c>
      <c r="AD303" s="311"/>
      <c r="AE303" s="311"/>
      <c r="AF303" s="569"/>
      <c r="AG303" s="311"/>
      <c r="AH303" s="374"/>
      <c r="AI303" s="366"/>
      <c r="AJ303" s="374">
        <f t="shared" si="22"/>
        <v>0</v>
      </c>
    </row>
    <row r="304" spans="1:36" s="410" customFormat="1" ht="14">
      <c r="A304" s="563" t="s">
        <v>503</v>
      </c>
      <c r="B304" s="564" t="s">
        <v>176</v>
      </c>
      <c r="C304" s="564"/>
      <c r="D304" s="564"/>
      <c r="E304" s="439"/>
      <c r="F304" s="564"/>
      <c r="G304" s="439"/>
      <c r="H304" s="439"/>
      <c r="I304" s="311"/>
      <c r="J304" s="311"/>
      <c r="K304" s="311"/>
      <c r="L304" s="311"/>
      <c r="M304" s="311"/>
      <c r="N304" s="367"/>
      <c r="O304" s="367"/>
      <c r="P304" s="367"/>
      <c r="Q304" s="367"/>
      <c r="R304" s="311"/>
      <c r="S304" s="311"/>
      <c r="T304" s="311"/>
      <c r="U304" s="311"/>
      <c r="V304" s="311">
        <v>1</v>
      </c>
      <c r="W304" s="311"/>
      <c r="X304" s="311"/>
      <c r="Y304" s="311"/>
      <c r="Z304" s="311"/>
      <c r="AA304" s="311"/>
      <c r="AB304" s="311"/>
      <c r="AC304" s="311">
        <f t="shared" si="21"/>
        <v>1</v>
      </c>
      <c r="AD304" s="311" t="s">
        <v>141</v>
      </c>
      <c r="AE304" s="311" t="s">
        <v>67</v>
      </c>
      <c r="AF304" s="569" t="s">
        <v>31</v>
      </c>
      <c r="AG304" s="415">
        <v>0.1</v>
      </c>
      <c r="AH304" s="581">
        <v>0.1</v>
      </c>
      <c r="AI304" s="581">
        <v>0.1</v>
      </c>
      <c r="AJ304" s="374">
        <f t="shared" si="22"/>
        <v>320867.25</v>
      </c>
    </row>
    <row r="305" spans="1:36" s="410" customFormat="1" ht="14">
      <c r="A305" s="563" t="s">
        <v>504</v>
      </c>
      <c r="B305" s="564" t="s">
        <v>177</v>
      </c>
      <c r="C305" s="564"/>
      <c r="D305" s="564"/>
      <c r="E305" s="439"/>
      <c r="F305" s="564"/>
      <c r="G305" s="439"/>
      <c r="H305" s="439"/>
      <c r="I305" s="311"/>
      <c r="J305" s="311"/>
      <c r="K305" s="311"/>
      <c r="L305" s="311"/>
      <c r="M305" s="311"/>
      <c r="N305" s="367"/>
      <c r="O305" s="367"/>
      <c r="P305" s="367"/>
      <c r="Q305" s="367"/>
      <c r="R305" s="311"/>
      <c r="S305" s="311"/>
      <c r="T305" s="311"/>
      <c r="U305" s="311"/>
      <c r="V305" s="311">
        <v>1</v>
      </c>
      <c r="W305" s="311"/>
      <c r="X305" s="311"/>
      <c r="Y305" s="311"/>
      <c r="Z305" s="311"/>
      <c r="AA305" s="311"/>
      <c r="AB305" s="311"/>
      <c r="AC305" s="311">
        <f t="shared" si="21"/>
        <v>1</v>
      </c>
      <c r="AD305" s="311" t="s">
        <v>141</v>
      </c>
      <c r="AE305" s="311" t="s">
        <v>67</v>
      </c>
      <c r="AF305" s="569" t="s">
        <v>31</v>
      </c>
      <c r="AG305" s="415">
        <v>0.15</v>
      </c>
      <c r="AH305" s="581">
        <v>0.2</v>
      </c>
      <c r="AI305" s="581">
        <v>0.2</v>
      </c>
      <c r="AJ305" s="374">
        <f t="shared" si="22"/>
        <v>320867.25</v>
      </c>
    </row>
    <row r="306" spans="1:36" s="231" customFormat="1" ht="26">
      <c r="A306" s="350" t="s">
        <v>205</v>
      </c>
      <c r="B306" s="347" t="s">
        <v>491</v>
      </c>
      <c r="C306" s="347"/>
      <c r="D306" s="347"/>
      <c r="E306" s="346"/>
      <c r="F306" s="347"/>
      <c r="G306" s="346"/>
      <c r="H306" s="346"/>
      <c r="I306" s="346"/>
      <c r="J306" s="346"/>
      <c r="K306" s="346"/>
      <c r="L306" s="346"/>
      <c r="M306" s="346"/>
      <c r="N306" s="357"/>
      <c r="O306" s="357"/>
      <c r="P306" s="357"/>
      <c r="Q306" s="357"/>
      <c r="R306" s="346"/>
      <c r="S306" s="346"/>
      <c r="T306" s="346"/>
      <c r="U306" s="346"/>
      <c r="V306" s="346"/>
      <c r="W306" s="346">
        <v>1</v>
      </c>
      <c r="X306" s="346"/>
      <c r="Y306" s="346"/>
      <c r="Z306" s="346"/>
      <c r="AA306" s="346"/>
      <c r="AB306" s="346"/>
      <c r="AC306" s="346">
        <f t="shared" si="21"/>
        <v>1</v>
      </c>
      <c r="AD306" s="346" t="s">
        <v>51</v>
      </c>
      <c r="AE306" s="346" t="s">
        <v>104</v>
      </c>
      <c r="AF306" s="350" t="s">
        <v>31</v>
      </c>
      <c r="AG306" s="369">
        <v>0.4</v>
      </c>
      <c r="AH306" s="370">
        <v>0.4</v>
      </c>
      <c r="AI306" s="370">
        <v>0.52</v>
      </c>
      <c r="AJ306" s="358">
        <f t="shared" si="22"/>
        <v>360525</v>
      </c>
    </row>
    <row r="307" spans="1:36" s="231" customFormat="1" ht="26">
      <c r="A307" s="350" t="s">
        <v>264</v>
      </c>
      <c r="B307" s="347" t="s">
        <v>667</v>
      </c>
      <c r="C307" s="347"/>
      <c r="D307" s="347"/>
      <c r="E307" s="346"/>
      <c r="F307" s="347"/>
      <c r="G307" s="346"/>
      <c r="H307" s="346"/>
      <c r="I307" s="346"/>
      <c r="J307" s="346"/>
      <c r="K307" s="346"/>
      <c r="L307" s="346"/>
      <c r="M307" s="346"/>
      <c r="N307" s="357"/>
      <c r="O307" s="357"/>
      <c r="P307" s="357"/>
      <c r="Q307" s="357"/>
      <c r="R307" s="346"/>
      <c r="S307" s="346"/>
      <c r="T307" s="346"/>
      <c r="U307" s="346"/>
      <c r="V307" s="346">
        <v>1</v>
      </c>
      <c r="W307" s="346"/>
      <c r="X307" s="346"/>
      <c r="Y307" s="346"/>
      <c r="Z307" s="346"/>
      <c r="AA307" s="346"/>
      <c r="AB307" s="346"/>
      <c r="AC307" s="346">
        <f t="shared" si="21"/>
        <v>1</v>
      </c>
      <c r="AD307" s="346" t="s">
        <v>51</v>
      </c>
      <c r="AE307" s="346" t="s">
        <v>67</v>
      </c>
      <c r="AF307" s="350" t="s">
        <v>31</v>
      </c>
      <c r="AG307" s="369">
        <v>0.37</v>
      </c>
      <c r="AH307" s="370">
        <v>0.37</v>
      </c>
      <c r="AI307" s="370">
        <v>0.44400000000000001</v>
      </c>
      <c r="AJ307" s="358">
        <f t="shared" si="22"/>
        <v>320867.25</v>
      </c>
    </row>
    <row r="308" spans="1:36" s="231" customFormat="1" ht="26">
      <c r="A308" s="350" t="s">
        <v>266</v>
      </c>
      <c r="B308" s="347" t="s">
        <v>184</v>
      </c>
      <c r="C308" s="347"/>
      <c r="D308" s="347"/>
      <c r="E308" s="346"/>
      <c r="F308" s="347"/>
      <c r="G308" s="346"/>
      <c r="H308" s="346"/>
      <c r="I308" s="346"/>
      <c r="J308" s="346"/>
      <c r="K308" s="346"/>
      <c r="L308" s="346"/>
      <c r="M308" s="346"/>
      <c r="N308" s="357"/>
      <c r="O308" s="357"/>
      <c r="P308" s="357"/>
      <c r="Q308" s="357"/>
      <c r="R308" s="346"/>
      <c r="S308" s="346"/>
      <c r="T308" s="346"/>
      <c r="U308" s="346"/>
      <c r="V308" s="346"/>
      <c r="W308" s="346"/>
      <c r="X308" s="346"/>
      <c r="Y308" s="346"/>
      <c r="Z308" s="346"/>
      <c r="AA308" s="346"/>
      <c r="AB308" s="346"/>
      <c r="AC308" s="346">
        <f t="shared" si="21"/>
        <v>0</v>
      </c>
      <c r="AD308" s="346"/>
      <c r="AE308" s="346"/>
      <c r="AF308" s="350"/>
      <c r="AG308" s="346"/>
      <c r="AH308" s="358"/>
      <c r="AI308" s="347"/>
      <c r="AJ308" s="358">
        <f t="shared" si="22"/>
        <v>0</v>
      </c>
    </row>
    <row r="309" spans="1:36" s="410" customFormat="1" ht="14">
      <c r="A309" s="400" t="s">
        <v>545</v>
      </c>
      <c r="B309" s="365" t="s">
        <v>185</v>
      </c>
      <c r="C309" s="365"/>
      <c r="D309" s="365"/>
      <c r="E309" s="430"/>
      <c r="F309" s="365"/>
      <c r="G309" s="430"/>
      <c r="H309" s="430"/>
      <c r="I309" s="430"/>
      <c r="J309" s="430"/>
      <c r="K309" s="430"/>
      <c r="L309" s="430"/>
      <c r="M309" s="430"/>
      <c r="N309" s="427"/>
      <c r="O309" s="427"/>
      <c r="P309" s="427"/>
      <c r="Q309" s="427"/>
      <c r="R309" s="430"/>
      <c r="S309" s="430"/>
      <c r="T309" s="430"/>
      <c r="U309" s="430">
        <v>1</v>
      </c>
      <c r="V309" s="430"/>
      <c r="W309" s="430"/>
      <c r="X309" s="430"/>
      <c r="Y309" s="430"/>
      <c r="Z309" s="430"/>
      <c r="AA309" s="430"/>
      <c r="AB309" s="430"/>
      <c r="AC309" s="430">
        <f t="shared" si="21"/>
        <v>1</v>
      </c>
      <c r="AD309" s="430" t="s">
        <v>444</v>
      </c>
      <c r="AE309" s="430" t="s">
        <v>66</v>
      </c>
      <c r="AF309" s="400" t="s">
        <v>31</v>
      </c>
      <c r="AG309" s="452">
        <v>1.6E-2</v>
      </c>
      <c r="AH309" s="453">
        <v>1.6E-2</v>
      </c>
      <c r="AI309" s="453">
        <v>1.6E-2</v>
      </c>
      <c r="AJ309" s="432">
        <f t="shared" si="22"/>
        <v>281209.5</v>
      </c>
    </row>
    <row r="310" spans="1:36" s="410" customFormat="1" ht="14">
      <c r="A310" s="400" t="s">
        <v>546</v>
      </c>
      <c r="B310" s="365" t="s">
        <v>186</v>
      </c>
      <c r="C310" s="365"/>
      <c r="D310" s="365"/>
      <c r="E310" s="430"/>
      <c r="F310" s="365"/>
      <c r="G310" s="430"/>
      <c r="H310" s="430"/>
      <c r="I310" s="430"/>
      <c r="J310" s="430"/>
      <c r="K310" s="430"/>
      <c r="L310" s="430"/>
      <c r="M310" s="430"/>
      <c r="N310" s="427"/>
      <c r="O310" s="427"/>
      <c r="P310" s="427"/>
      <c r="Q310" s="427"/>
      <c r="R310" s="430"/>
      <c r="S310" s="430"/>
      <c r="T310" s="430"/>
      <c r="U310" s="430">
        <v>1</v>
      </c>
      <c r="V310" s="430"/>
      <c r="W310" s="430"/>
      <c r="X310" s="430"/>
      <c r="Y310" s="430"/>
      <c r="Z310" s="430"/>
      <c r="AA310" s="430"/>
      <c r="AB310" s="430"/>
      <c r="AC310" s="430">
        <f t="shared" si="21"/>
        <v>1</v>
      </c>
      <c r="AD310" s="430" t="s">
        <v>444</v>
      </c>
      <c r="AE310" s="430" t="s">
        <v>66</v>
      </c>
      <c r="AF310" s="400" t="s">
        <v>31</v>
      </c>
      <c r="AG310" s="452">
        <v>8.0000000000000002E-3</v>
      </c>
      <c r="AH310" s="453">
        <v>8.0000000000000002E-3</v>
      </c>
      <c r="AI310" s="453">
        <v>8.0000000000000002E-3</v>
      </c>
      <c r="AJ310" s="432">
        <f t="shared" si="22"/>
        <v>281209.5</v>
      </c>
    </row>
    <row r="311" spans="1:36" s="231" customFormat="1" ht="39">
      <c r="A311" s="350" t="s">
        <v>268</v>
      </c>
      <c r="B311" s="347" t="s">
        <v>187</v>
      </c>
      <c r="C311" s="347"/>
      <c r="D311" s="347"/>
      <c r="E311" s="346"/>
      <c r="F311" s="347"/>
      <c r="G311" s="346"/>
      <c r="H311" s="346"/>
      <c r="I311" s="346"/>
      <c r="J311" s="346"/>
      <c r="K311" s="346"/>
      <c r="L311" s="346"/>
      <c r="M311" s="346"/>
      <c r="N311" s="357"/>
      <c r="O311" s="357"/>
      <c r="P311" s="357"/>
      <c r="Q311" s="357"/>
      <c r="R311" s="346"/>
      <c r="S311" s="346"/>
      <c r="T311" s="346"/>
      <c r="U311" s="346">
        <v>1</v>
      </c>
      <c r="V311" s="346"/>
      <c r="W311" s="346"/>
      <c r="X311" s="346"/>
      <c r="Y311" s="346"/>
      <c r="Z311" s="346"/>
      <c r="AA311" s="346"/>
      <c r="AB311" s="346"/>
      <c r="AC311" s="346">
        <f t="shared" si="21"/>
        <v>1</v>
      </c>
      <c r="AD311" s="346" t="s">
        <v>444</v>
      </c>
      <c r="AE311" s="346" t="s">
        <v>66</v>
      </c>
      <c r="AF311" s="350" t="s">
        <v>31</v>
      </c>
      <c r="AG311" s="369">
        <v>4.0000000000000001E-3</v>
      </c>
      <c r="AH311" s="370">
        <v>4.0000000000000001E-3</v>
      </c>
      <c r="AI311" s="370">
        <v>4.0000000000000001E-3</v>
      </c>
      <c r="AJ311" s="358">
        <f t="shared" si="22"/>
        <v>281209.5</v>
      </c>
    </row>
    <row r="312" spans="1:36" s="231" customFormat="1" ht="26">
      <c r="A312" s="350" t="s">
        <v>269</v>
      </c>
      <c r="B312" s="347" t="s">
        <v>188</v>
      </c>
      <c r="C312" s="347"/>
      <c r="D312" s="347"/>
      <c r="E312" s="346"/>
      <c r="F312" s="347"/>
      <c r="G312" s="346"/>
      <c r="H312" s="346"/>
      <c r="I312" s="346"/>
      <c r="J312" s="346"/>
      <c r="K312" s="346"/>
      <c r="L312" s="346"/>
      <c r="M312" s="346"/>
      <c r="N312" s="357"/>
      <c r="O312" s="357"/>
      <c r="P312" s="357"/>
      <c r="Q312" s="357"/>
      <c r="R312" s="346"/>
      <c r="S312" s="346"/>
      <c r="T312" s="346"/>
      <c r="U312" s="346">
        <v>1</v>
      </c>
      <c r="V312" s="346"/>
      <c r="W312" s="346"/>
      <c r="X312" s="346"/>
      <c r="Y312" s="346"/>
      <c r="Z312" s="346"/>
      <c r="AA312" s="346"/>
      <c r="AB312" s="346"/>
      <c r="AC312" s="346">
        <f t="shared" si="21"/>
        <v>1</v>
      </c>
      <c r="AD312" s="346" t="s">
        <v>1</v>
      </c>
      <c r="AE312" s="346" t="s">
        <v>66</v>
      </c>
      <c r="AF312" s="350" t="s">
        <v>31</v>
      </c>
      <c r="AG312" s="369">
        <v>0.01</v>
      </c>
      <c r="AH312" s="370">
        <v>0.01</v>
      </c>
      <c r="AI312" s="370">
        <v>0.01</v>
      </c>
      <c r="AJ312" s="358">
        <f t="shared" si="22"/>
        <v>281209.5</v>
      </c>
    </row>
    <row r="313" spans="1:36" s="231" customFormat="1" ht="65">
      <c r="A313" s="350" t="s">
        <v>271</v>
      </c>
      <c r="B313" s="347" t="s">
        <v>554</v>
      </c>
      <c r="C313" s="347"/>
      <c r="D313" s="347"/>
      <c r="E313" s="346"/>
      <c r="F313" s="347"/>
      <c r="G313" s="346"/>
      <c r="H313" s="346"/>
      <c r="I313" s="346"/>
      <c r="J313" s="346"/>
      <c r="K313" s="346"/>
      <c r="L313" s="346"/>
      <c r="M313" s="346"/>
      <c r="N313" s="357"/>
      <c r="O313" s="357"/>
      <c r="P313" s="357"/>
      <c r="Q313" s="357"/>
      <c r="R313" s="346"/>
      <c r="S313" s="346"/>
      <c r="T313" s="346"/>
      <c r="U313" s="346"/>
      <c r="V313" s="346">
        <v>1</v>
      </c>
      <c r="W313" s="346"/>
      <c r="X313" s="346"/>
      <c r="Y313" s="346"/>
      <c r="Z313" s="346"/>
      <c r="AA313" s="346"/>
      <c r="AB313" s="346"/>
      <c r="AC313" s="346">
        <f t="shared" si="21"/>
        <v>1</v>
      </c>
      <c r="AD313" s="346" t="s">
        <v>51</v>
      </c>
      <c r="AE313" s="346" t="s">
        <v>67</v>
      </c>
      <c r="AF313" s="350" t="s">
        <v>31</v>
      </c>
      <c r="AG313" s="369">
        <v>0.05</v>
      </c>
      <c r="AH313" s="370">
        <v>0.05</v>
      </c>
      <c r="AI313" s="370">
        <v>6.5000000000000002E-2</v>
      </c>
      <c r="AJ313" s="358">
        <f t="shared" si="22"/>
        <v>320867.25</v>
      </c>
    </row>
    <row r="314" spans="1:36" s="231" customFormat="1" ht="78">
      <c r="A314" s="350" t="s">
        <v>273</v>
      </c>
      <c r="B314" s="347" t="s">
        <v>555</v>
      </c>
      <c r="C314" s="347"/>
      <c r="D314" s="347"/>
      <c r="E314" s="346"/>
      <c r="F314" s="347"/>
      <c r="G314" s="346"/>
      <c r="H314" s="346"/>
      <c r="I314" s="346"/>
      <c r="J314" s="346"/>
      <c r="K314" s="346"/>
      <c r="L314" s="346"/>
      <c r="M314" s="346"/>
      <c r="N314" s="357"/>
      <c r="O314" s="357"/>
      <c r="P314" s="357"/>
      <c r="Q314" s="357"/>
      <c r="R314" s="346"/>
      <c r="S314" s="346"/>
      <c r="T314" s="346"/>
      <c r="U314" s="346"/>
      <c r="V314" s="346">
        <v>1</v>
      </c>
      <c r="W314" s="346"/>
      <c r="X314" s="346"/>
      <c r="Y314" s="346"/>
      <c r="Z314" s="346"/>
      <c r="AA314" s="346"/>
      <c r="AB314" s="346"/>
      <c r="AC314" s="346">
        <f t="shared" si="21"/>
        <v>1</v>
      </c>
      <c r="AD314" s="346" t="s">
        <v>51</v>
      </c>
      <c r="AE314" s="346" t="s">
        <v>67</v>
      </c>
      <c r="AF314" s="350" t="s">
        <v>31</v>
      </c>
      <c r="AG314" s="369">
        <v>0.05</v>
      </c>
      <c r="AH314" s="370">
        <v>0.05</v>
      </c>
      <c r="AI314" s="370">
        <v>6.5000000000000002E-2</v>
      </c>
      <c r="AJ314" s="358">
        <f t="shared" si="22"/>
        <v>320867.25</v>
      </c>
    </row>
    <row r="315" spans="1:36" s="232" customFormat="1" ht="26">
      <c r="A315" s="444" t="s">
        <v>275</v>
      </c>
      <c r="B315" s="445" t="s">
        <v>870</v>
      </c>
      <c r="C315" s="445"/>
      <c r="D315" s="445"/>
      <c r="E315" s="446"/>
      <c r="F315" s="445"/>
      <c r="G315" s="446"/>
      <c r="H315" s="446"/>
      <c r="I315" s="446"/>
      <c r="J315" s="446"/>
      <c r="K315" s="446"/>
      <c r="L315" s="446"/>
      <c r="M315" s="446"/>
      <c r="N315" s="447"/>
      <c r="O315" s="447"/>
      <c r="P315" s="447"/>
      <c r="Q315" s="447"/>
      <c r="R315" s="446"/>
      <c r="S315" s="446"/>
      <c r="T315" s="446"/>
      <c r="U315" s="446"/>
      <c r="V315" s="446">
        <v>1</v>
      </c>
      <c r="W315" s="446"/>
      <c r="X315" s="446"/>
      <c r="Y315" s="446"/>
      <c r="Z315" s="446"/>
      <c r="AA315" s="446"/>
      <c r="AB315" s="446"/>
      <c r="AC315" s="446">
        <f>SUM(E315:AB315)</f>
        <v>1</v>
      </c>
      <c r="AD315" s="446" t="s">
        <v>51</v>
      </c>
      <c r="AE315" s="446" t="s">
        <v>67</v>
      </c>
      <c r="AF315" s="422" t="s">
        <v>31</v>
      </c>
      <c r="AG315" s="448">
        <v>0.02</v>
      </c>
      <c r="AH315" s="449">
        <v>0.02</v>
      </c>
      <c r="AI315" s="449">
        <v>2.5999999999999999E-2</v>
      </c>
      <c r="AJ315" s="450">
        <f t="shared" si="22"/>
        <v>320867.25</v>
      </c>
    </row>
    <row r="316" spans="1:36" s="232" customFormat="1" ht="14">
      <c r="A316" s="583" t="s">
        <v>136</v>
      </c>
      <c r="B316" s="914" t="s">
        <v>191</v>
      </c>
      <c r="C316" s="914"/>
      <c r="D316" s="914"/>
      <c r="E316" s="914"/>
      <c r="F316" s="914"/>
      <c r="G316" s="914"/>
      <c r="H316" s="914"/>
      <c r="I316" s="914"/>
      <c r="J316" s="914"/>
      <c r="K316" s="914"/>
      <c r="L316" s="914"/>
      <c r="M316" s="914"/>
      <c r="N316" s="914"/>
      <c r="O316" s="914"/>
      <c r="P316" s="914"/>
      <c r="Q316" s="914"/>
      <c r="R316" s="914"/>
      <c r="S316" s="914"/>
      <c r="T316" s="914"/>
      <c r="U316" s="914"/>
      <c r="V316" s="914"/>
      <c r="W316" s="914"/>
      <c r="X316" s="914"/>
      <c r="Y316" s="914"/>
      <c r="Z316" s="914"/>
      <c r="AA316" s="914"/>
      <c r="AB316" s="914"/>
      <c r="AC316" s="914"/>
      <c r="AD316" s="914"/>
      <c r="AE316" s="914"/>
      <c r="AF316" s="914"/>
      <c r="AG316" s="584"/>
      <c r="AH316" s="585"/>
      <c r="AI316" s="585"/>
      <c r="AJ316" s="586"/>
    </row>
    <row r="317" spans="1:36" s="232" customFormat="1" ht="26">
      <c r="A317" s="454"/>
      <c r="B317" s="445" t="s">
        <v>871</v>
      </c>
      <c r="C317" s="445"/>
      <c r="D317" s="445"/>
      <c r="E317" s="446"/>
      <c r="F317" s="445"/>
      <c r="G317" s="446"/>
      <c r="H317" s="446"/>
      <c r="I317" s="446"/>
      <c r="J317" s="446"/>
      <c r="K317" s="446"/>
      <c r="L317" s="446"/>
      <c r="M317" s="446"/>
      <c r="N317" s="447"/>
      <c r="O317" s="447"/>
      <c r="P317" s="447"/>
      <c r="Q317" s="447"/>
      <c r="R317" s="446"/>
      <c r="S317" s="446"/>
      <c r="T317" s="446"/>
      <c r="U317" s="446"/>
      <c r="V317" s="446">
        <v>1</v>
      </c>
      <c r="W317" s="446"/>
      <c r="X317" s="446"/>
      <c r="Y317" s="446"/>
      <c r="Z317" s="446"/>
      <c r="AA317" s="446"/>
      <c r="AB317" s="446"/>
      <c r="AC317" s="446">
        <v>1</v>
      </c>
      <c r="AD317" s="446" t="s">
        <v>51</v>
      </c>
      <c r="AE317" s="446" t="s">
        <v>67</v>
      </c>
      <c r="AF317" s="422" t="s">
        <v>31</v>
      </c>
      <c r="AG317" s="448">
        <v>0.02</v>
      </c>
      <c r="AH317" s="449">
        <v>0.02</v>
      </c>
      <c r="AI317" s="449">
        <v>2.5999999999999999E-2</v>
      </c>
      <c r="AJ317" s="450">
        <f t="shared" si="22"/>
        <v>320867.25</v>
      </c>
    </row>
    <row r="318" spans="1:36" ht="22.15" customHeight="1">
      <c r="A318" s="65" t="s">
        <v>576</v>
      </c>
      <c r="B318" s="286" t="s">
        <v>246</v>
      </c>
      <c r="C318" s="287"/>
      <c r="D318" s="287"/>
      <c r="E318" s="287"/>
      <c r="F318" s="287"/>
      <c r="G318" s="287"/>
      <c r="H318" s="287"/>
      <c r="I318" s="287"/>
      <c r="J318" s="287"/>
      <c r="K318" s="287"/>
      <c r="L318" s="287"/>
      <c r="M318" s="287"/>
      <c r="N318" s="287"/>
      <c r="O318" s="287"/>
      <c r="P318" s="287"/>
      <c r="Q318" s="287"/>
      <c r="R318" s="287"/>
      <c r="S318" s="287"/>
      <c r="T318" s="287"/>
      <c r="U318" s="287"/>
      <c r="V318" s="287"/>
      <c r="W318" s="287"/>
      <c r="X318" s="287"/>
      <c r="Y318" s="287"/>
      <c r="Z318" s="287"/>
      <c r="AA318" s="287"/>
      <c r="AB318" s="287"/>
      <c r="AC318" s="287"/>
      <c r="AD318" s="287"/>
      <c r="AE318" s="287"/>
      <c r="AF318" s="287"/>
      <c r="AG318" s="287"/>
      <c r="AH318" s="287"/>
      <c r="AI318" s="287"/>
      <c r="AJ318" s="182"/>
    </row>
    <row r="319" spans="1:36" ht="31.9" customHeight="1">
      <c r="A319" s="47" t="s">
        <v>32</v>
      </c>
      <c r="B319" s="876" t="s">
        <v>682</v>
      </c>
      <c r="C319" s="877"/>
      <c r="D319" s="877"/>
      <c r="E319" s="877"/>
      <c r="F319" s="877"/>
      <c r="G319" s="877"/>
      <c r="H319" s="877"/>
      <c r="I319" s="877"/>
      <c r="J319" s="877"/>
      <c r="K319" s="877"/>
      <c r="L319" s="877"/>
      <c r="M319" s="877"/>
      <c r="N319" s="877"/>
      <c r="O319" s="877"/>
      <c r="P319" s="877"/>
      <c r="Q319" s="877"/>
      <c r="R319" s="877"/>
      <c r="S319" s="877"/>
      <c r="T319" s="877"/>
      <c r="U319" s="877"/>
      <c r="V319" s="877"/>
      <c r="W319" s="877"/>
      <c r="X319" s="877"/>
      <c r="Y319" s="877"/>
      <c r="Z319" s="877"/>
      <c r="AA319" s="877"/>
      <c r="AB319" s="877"/>
      <c r="AC319" s="877"/>
      <c r="AD319" s="877"/>
      <c r="AE319" s="877"/>
      <c r="AF319" s="878"/>
      <c r="AG319" s="44"/>
      <c r="AH319" s="58"/>
      <c r="AI319" s="58"/>
      <c r="AJ319" s="67"/>
    </row>
    <row r="320" spans="1:36" ht="40.5" customHeight="1">
      <c r="A320" s="47" t="s">
        <v>33</v>
      </c>
      <c r="B320" s="876" t="s">
        <v>861</v>
      </c>
      <c r="C320" s="877"/>
      <c r="D320" s="877"/>
      <c r="E320" s="877"/>
      <c r="F320" s="877"/>
      <c r="G320" s="877"/>
      <c r="H320" s="877"/>
      <c r="I320" s="877"/>
      <c r="J320" s="877"/>
      <c r="K320" s="877"/>
      <c r="L320" s="877"/>
      <c r="M320" s="877"/>
      <c r="N320" s="877"/>
      <c r="O320" s="877"/>
      <c r="P320" s="877"/>
      <c r="Q320" s="877"/>
      <c r="R320" s="877"/>
      <c r="S320" s="877"/>
      <c r="T320" s="877"/>
      <c r="U320" s="877"/>
      <c r="V320" s="877"/>
      <c r="W320" s="877"/>
      <c r="X320" s="877"/>
      <c r="Y320" s="877"/>
      <c r="Z320" s="877"/>
      <c r="AA320" s="877"/>
      <c r="AB320" s="877"/>
      <c r="AC320" s="877"/>
      <c r="AD320" s="877"/>
      <c r="AE320" s="877"/>
      <c r="AF320" s="878"/>
      <c r="AG320" s="45" t="s">
        <v>312</v>
      </c>
      <c r="AH320" s="72"/>
      <c r="AI320" s="72"/>
      <c r="AJ320" s="67"/>
    </row>
    <row r="321" spans="1:36" ht="31.9" customHeight="1">
      <c r="A321" s="47" t="s">
        <v>34</v>
      </c>
      <c r="B321" s="876" t="s">
        <v>683</v>
      </c>
      <c r="C321" s="877"/>
      <c r="D321" s="877"/>
      <c r="E321" s="877"/>
      <c r="F321" s="877"/>
      <c r="G321" s="877"/>
      <c r="H321" s="877"/>
      <c r="I321" s="877"/>
      <c r="J321" s="877"/>
      <c r="K321" s="877"/>
      <c r="L321" s="877"/>
      <c r="M321" s="877"/>
      <c r="N321" s="877"/>
      <c r="O321" s="877"/>
      <c r="P321" s="877"/>
      <c r="Q321" s="877"/>
      <c r="R321" s="877"/>
      <c r="S321" s="877"/>
      <c r="T321" s="877"/>
      <c r="U321" s="877"/>
      <c r="V321" s="877"/>
      <c r="W321" s="877"/>
      <c r="X321" s="877"/>
      <c r="Y321" s="877"/>
      <c r="Z321" s="877"/>
      <c r="AA321" s="877"/>
      <c r="AB321" s="877"/>
      <c r="AC321" s="877"/>
      <c r="AD321" s="877"/>
      <c r="AE321" s="877"/>
      <c r="AF321" s="878"/>
      <c r="AG321" s="44"/>
      <c r="AH321" s="58"/>
      <c r="AI321" s="58"/>
      <c r="AJ321" s="67"/>
    </row>
    <row r="322" spans="1:36" ht="31.9" customHeight="1">
      <c r="A322" s="47" t="s">
        <v>154</v>
      </c>
      <c r="B322" s="876" t="s">
        <v>872</v>
      </c>
      <c r="C322" s="877"/>
      <c r="D322" s="877"/>
      <c r="E322" s="877"/>
      <c r="F322" s="877"/>
      <c r="G322" s="877"/>
      <c r="H322" s="877"/>
      <c r="I322" s="877"/>
      <c r="J322" s="877"/>
      <c r="K322" s="877"/>
      <c r="L322" s="877"/>
      <c r="M322" s="877"/>
      <c r="N322" s="877"/>
      <c r="O322" s="877"/>
      <c r="P322" s="877"/>
      <c r="Q322" s="877"/>
      <c r="R322" s="877"/>
      <c r="S322" s="877"/>
      <c r="T322" s="877"/>
      <c r="U322" s="877"/>
      <c r="V322" s="877"/>
      <c r="W322" s="877"/>
      <c r="X322" s="877"/>
      <c r="Y322" s="877"/>
      <c r="Z322" s="877"/>
      <c r="AA322" s="877"/>
      <c r="AB322" s="877"/>
      <c r="AC322" s="877"/>
      <c r="AD322" s="877"/>
      <c r="AE322" s="877"/>
      <c r="AF322" s="878"/>
      <c r="AG322" s="44"/>
      <c r="AH322" s="58"/>
      <c r="AI322" s="58"/>
      <c r="AJ322" s="67"/>
    </row>
    <row r="323" spans="1:36" ht="31.9" customHeight="1">
      <c r="A323" s="47" t="s">
        <v>155</v>
      </c>
      <c r="B323" s="876" t="s">
        <v>863</v>
      </c>
      <c r="C323" s="877"/>
      <c r="D323" s="877"/>
      <c r="E323" s="877"/>
      <c r="F323" s="877"/>
      <c r="G323" s="877"/>
      <c r="H323" s="877"/>
      <c r="I323" s="877"/>
      <c r="J323" s="877"/>
      <c r="K323" s="877"/>
      <c r="L323" s="877"/>
      <c r="M323" s="877"/>
      <c r="N323" s="877"/>
      <c r="O323" s="877"/>
      <c r="P323" s="877"/>
      <c r="Q323" s="877"/>
      <c r="R323" s="877"/>
      <c r="S323" s="877"/>
      <c r="T323" s="877"/>
      <c r="U323" s="877"/>
      <c r="V323" s="877"/>
      <c r="W323" s="877"/>
      <c r="X323" s="877"/>
      <c r="Y323" s="877"/>
      <c r="Z323" s="877"/>
      <c r="AA323" s="877"/>
      <c r="AB323" s="877"/>
      <c r="AC323" s="877"/>
      <c r="AD323" s="877"/>
      <c r="AE323" s="877"/>
      <c r="AF323" s="878"/>
      <c r="AG323" s="44">
        <v>1.5</v>
      </c>
      <c r="AH323" s="58"/>
      <c r="AI323" s="58"/>
      <c r="AJ323" s="67"/>
    </row>
    <row r="324" spans="1:36" ht="31.9" customHeight="1">
      <c r="A324" s="47" t="s">
        <v>156</v>
      </c>
      <c r="B324" s="876" t="s">
        <v>873</v>
      </c>
      <c r="C324" s="877"/>
      <c r="D324" s="877"/>
      <c r="E324" s="877"/>
      <c r="F324" s="877"/>
      <c r="G324" s="877"/>
      <c r="H324" s="877"/>
      <c r="I324" s="877"/>
      <c r="J324" s="877"/>
      <c r="K324" s="877"/>
      <c r="L324" s="877"/>
      <c r="M324" s="877"/>
      <c r="N324" s="877"/>
      <c r="O324" s="877"/>
      <c r="P324" s="877"/>
      <c r="Q324" s="877"/>
      <c r="R324" s="877"/>
      <c r="S324" s="877"/>
      <c r="T324" s="877"/>
      <c r="U324" s="877"/>
      <c r="V324" s="877"/>
      <c r="W324" s="877"/>
      <c r="X324" s="877"/>
      <c r="Y324" s="877"/>
      <c r="Z324" s="877"/>
      <c r="AA324" s="877"/>
      <c r="AB324" s="877"/>
      <c r="AC324" s="877"/>
      <c r="AD324" s="877"/>
      <c r="AE324" s="877"/>
      <c r="AF324" s="878"/>
      <c r="AG324" s="45"/>
      <c r="AH324" s="72"/>
      <c r="AI324" s="72"/>
      <c r="AJ324" s="67"/>
    </row>
    <row r="325" spans="1:36" ht="48" customHeight="1">
      <c r="A325" s="596" t="s">
        <v>229</v>
      </c>
      <c r="B325" s="913" t="s">
        <v>755</v>
      </c>
      <c r="C325" s="913"/>
      <c r="D325" s="913"/>
      <c r="E325" s="913"/>
      <c r="F325" s="913"/>
      <c r="G325" s="913"/>
      <c r="H325" s="913"/>
      <c r="I325" s="913"/>
      <c r="J325" s="913"/>
      <c r="K325" s="913"/>
      <c r="L325" s="913"/>
      <c r="M325" s="913"/>
      <c r="N325" s="913"/>
      <c r="O325" s="913"/>
      <c r="P325" s="913"/>
      <c r="Q325" s="913"/>
      <c r="R325" s="913"/>
      <c r="S325" s="913"/>
      <c r="T325" s="913"/>
      <c r="U325" s="913"/>
      <c r="V325" s="913"/>
      <c r="W325" s="913"/>
      <c r="X325" s="913"/>
      <c r="Y325" s="913"/>
      <c r="Z325" s="913"/>
      <c r="AA325" s="913"/>
      <c r="AB325" s="913"/>
      <c r="AC325" s="913"/>
      <c r="AD325" s="913"/>
      <c r="AE325" s="913"/>
      <c r="AF325" s="913"/>
      <c r="AG325" s="359"/>
      <c r="AH325" s="359"/>
      <c r="AI325" s="359"/>
      <c r="AJ325" s="340" t="s">
        <v>305</v>
      </c>
    </row>
    <row r="326" spans="1:36" s="38" customFormat="1" ht="22.15" customHeight="1">
      <c r="A326" s="597" t="s">
        <v>556</v>
      </c>
      <c r="B326" s="890" t="s">
        <v>191</v>
      </c>
      <c r="C326" s="890"/>
      <c r="D326" s="890"/>
      <c r="E326" s="890"/>
      <c r="F326" s="890"/>
      <c r="G326" s="890"/>
      <c r="H326" s="890"/>
      <c r="I326" s="890"/>
      <c r="J326" s="890"/>
      <c r="K326" s="890"/>
      <c r="L326" s="890"/>
      <c r="M326" s="890"/>
      <c r="N326" s="890"/>
      <c r="O326" s="890"/>
      <c r="P326" s="890"/>
      <c r="Q326" s="890"/>
      <c r="R326" s="890"/>
      <c r="S326" s="890"/>
      <c r="T326" s="890"/>
      <c r="U326" s="890"/>
      <c r="V326" s="890"/>
      <c r="W326" s="890"/>
      <c r="X326" s="890"/>
      <c r="Y326" s="890"/>
      <c r="Z326" s="890"/>
      <c r="AA326" s="890"/>
      <c r="AB326" s="890"/>
      <c r="AC326" s="890"/>
      <c r="AD326" s="890"/>
      <c r="AE326" s="890"/>
      <c r="AF326" s="890"/>
      <c r="AG326" s="233" t="s">
        <v>209</v>
      </c>
      <c r="AH326" s="233" t="s">
        <v>210</v>
      </c>
      <c r="AI326" s="233" t="s">
        <v>211</v>
      </c>
      <c r="AJ326" s="600"/>
    </row>
    <row r="327" spans="1:36" s="231" customFormat="1" ht="26">
      <c r="A327" s="350" t="s">
        <v>32</v>
      </c>
      <c r="B327" s="347" t="s">
        <v>225</v>
      </c>
      <c r="C327" s="347"/>
      <c r="D327" s="347"/>
      <c r="E327" s="346"/>
      <c r="F327" s="347"/>
      <c r="G327" s="346"/>
      <c r="H327" s="346"/>
      <c r="I327" s="346"/>
      <c r="J327" s="346"/>
      <c r="K327" s="346"/>
      <c r="L327" s="346"/>
      <c r="M327" s="346"/>
      <c r="N327" s="357"/>
      <c r="O327" s="357"/>
      <c r="P327" s="357"/>
      <c r="Q327" s="357"/>
      <c r="R327" s="346"/>
      <c r="S327" s="346"/>
      <c r="T327" s="346"/>
      <c r="U327" s="346"/>
      <c r="V327" s="346"/>
      <c r="W327" s="346"/>
      <c r="X327" s="346"/>
      <c r="Y327" s="346"/>
      <c r="Z327" s="346"/>
      <c r="AA327" s="346"/>
      <c r="AB327" s="346"/>
      <c r="AC327" s="346">
        <f t="shared" ref="AC327:AC367" si="23">SUM(E327:AB327)</f>
        <v>0</v>
      </c>
      <c r="AD327" s="346"/>
      <c r="AE327" s="346"/>
      <c r="AF327" s="350"/>
      <c r="AG327" s="346"/>
      <c r="AH327" s="358"/>
      <c r="AI327" s="347"/>
      <c r="AJ327" s="358">
        <f t="shared" si="22"/>
        <v>0</v>
      </c>
    </row>
    <row r="328" spans="1:36" s="410" customFormat="1" ht="14">
      <c r="A328" s="400" t="s">
        <v>132</v>
      </c>
      <c r="B328" s="365" t="s">
        <v>149</v>
      </c>
      <c r="C328" s="365"/>
      <c r="D328" s="365"/>
      <c r="E328" s="346"/>
      <c r="F328" s="347"/>
      <c r="G328" s="346"/>
      <c r="H328" s="346"/>
      <c r="I328" s="346"/>
      <c r="J328" s="346"/>
      <c r="K328" s="346"/>
      <c r="L328" s="346"/>
      <c r="M328" s="346"/>
      <c r="N328" s="357"/>
      <c r="O328" s="357"/>
      <c r="P328" s="357"/>
      <c r="Q328" s="357"/>
      <c r="R328" s="346"/>
      <c r="S328" s="346"/>
      <c r="T328" s="346"/>
      <c r="U328" s="346"/>
      <c r="V328" s="346">
        <v>1</v>
      </c>
      <c r="W328" s="346"/>
      <c r="X328" s="346"/>
      <c r="Y328" s="346"/>
      <c r="Z328" s="346"/>
      <c r="AA328" s="346"/>
      <c r="AB328" s="346"/>
      <c r="AC328" s="346">
        <f t="shared" si="23"/>
        <v>1</v>
      </c>
      <c r="AD328" s="346" t="s">
        <v>51</v>
      </c>
      <c r="AE328" s="346" t="s">
        <v>67</v>
      </c>
      <c r="AF328" s="350" t="s">
        <v>31</v>
      </c>
      <c r="AG328" s="369">
        <v>0.25</v>
      </c>
      <c r="AH328" s="370">
        <v>0.25</v>
      </c>
      <c r="AI328" s="370">
        <v>0.32500000000000001</v>
      </c>
      <c r="AJ328" s="358">
        <f t="shared" si="22"/>
        <v>320867.25</v>
      </c>
    </row>
    <row r="329" spans="1:36" s="410" customFormat="1" ht="14">
      <c r="A329" s="563" t="s">
        <v>133</v>
      </c>
      <c r="B329" s="564" t="s">
        <v>151</v>
      </c>
      <c r="C329" s="564"/>
      <c r="D329" s="564"/>
      <c r="E329" s="311"/>
      <c r="F329" s="366"/>
      <c r="G329" s="311"/>
      <c r="H329" s="311"/>
      <c r="I329" s="311"/>
      <c r="J329" s="311"/>
      <c r="K329" s="311"/>
      <c r="L329" s="311"/>
      <c r="M329" s="311"/>
      <c r="N329" s="367"/>
      <c r="O329" s="367"/>
      <c r="P329" s="367"/>
      <c r="Q329" s="367"/>
      <c r="R329" s="311"/>
      <c r="S329" s="311"/>
      <c r="T329" s="311"/>
      <c r="U329" s="311"/>
      <c r="V329" s="311">
        <v>1</v>
      </c>
      <c r="W329" s="311"/>
      <c r="X329" s="311"/>
      <c r="Y329" s="311"/>
      <c r="Z329" s="311"/>
      <c r="AA329" s="311"/>
      <c r="AB329" s="311"/>
      <c r="AC329" s="311">
        <f t="shared" si="23"/>
        <v>1</v>
      </c>
      <c r="AD329" s="311" t="s">
        <v>51</v>
      </c>
      <c r="AE329" s="311" t="s">
        <v>67</v>
      </c>
      <c r="AF329" s="569" t="s">
        <v>31</v>
      </c>
      <c r="AG329" s="415">
        <v>0.2</v>
      </c>
      <c r="AH329" s="581">
        <v>0.2</v>
      </c>
      <c r="AI329" s="581">
        <v>0.26</v>
      </c>
      <c r="AJ329" s="374">
        <f t="shared" si="22"/>
        <v>320867.25</v>
      </c>
    </row>
    <row r="330" spans="1:36" s="231" customFormat="1" ht="52">
      <c r="A330" s="350" t="s">
        <v>33</v>
      </c>
      <c r="B330" s="347" t="s">
        <v>573</v>
      </c>
      <c r="C330" s="347"/>
      <c r="D330" s="347"/>
      <c r="E330" s="346"/>
      <c r="F330" s="347"/>
      <c r="G330" s="346"/>
      <c r="H330" s="346"/>
      <c r="I330" s="346"/>
      <c r="J330" s="346"/>
      <c r="K330" s="346"/>
      <c r="L330" s="346"/>
      <c r="M330" s="346"/>
      <c r="N330" s="357"/>
      <c r="O330" s="357"/>
      <c r="P330" s="357"/>
      <c r="Q330" s="357"/>
      <c r="R330" s="346"/>
      <c r="S330" s="346"/>
      <c r="T330" s="346"/>
      <c r="U330" s="346"/>
      <c r="V330" s="346">
        <v>1</v>
      </c>
      <c r="W330" s="346"/>
      <c r="X330" s="346"/>
      <c r="Y330" s="346"/>
      <c r="Z330" s="346"/>
      <c r="AA330" s="346"/>
      <c r="AB330" s="346"/>
      <c r="AC330" s="346">
        <f t="shared" si="23"/>
        <v>1</v>
      </c>
      <c r="AD330" s="346" t="s">
        <v>51</v>
      </c>
      <c r="AE330" s="346" t="s">
        <v>67</v>
      </c>
      <c r="AF330" s="350" t="s">
        <v>31</v>
      </c>
      <c r="AG330" s="369">
        <v>0.2</v>
      </c>
      <c r="AH330" s="370">
        <v>0.2</v>
      </c>
      <c r="AI330" s="370">
        <v>0.26</v>
      </c>
      <c r="AJ330" s="358">
        <f t="shared" si="22"/>
        <v>320867.25</v>
      </c>
    </row>
    <row r="331" spans="1:36" s="231" customFormat="1" ht="26">
      <c r="A331" s="350" t="s">
        <v>34</v>
      </c>
      <c r="B331" s="347" t="s">
        <v>226</v>
      </c>
      <c r="C331" s="347"/>
      <c r="D331" s="347"/>
      <c r="E331" s="346"/>
      <c r="F331" s="347"/>
      <c r="G331" s="346"/>
      <c r="H331" s="346"/>
      <c r="I331" s="346"/>
      <c r="J331" s="346"/>
      <c r="K331" s="346"/>
      <c r="L331" s="346"/>
      <c r="M331" s="346"/>
      <c r="N331" s="357"/>
      <c r="O331" s="357"/>
      <c r="P331" s="357"/>
      <c r="Q331" s="357"/>
      <c r="R331" s="346"/>
      <c r="S331" s="346"/>
      <c r="T331" s="346"/>
      <c r="U331" s="346"/>
      <c r="V331" s="346"/>
      <c r="W331" s="346">
        <v>1</v>
      </c>
      <c r="X331" s="346"/>
      <c r="Y331" s="346"/>
      <c r="Z331" s="346"/>
      <c r="AA331" s="346"/>
      <c r="AB331" s="346"/>
      <c r="AC331" s="346">
        <f t="shared" si="23"/>
        <v>1</v>
      </c>
      <c r="AD331" s="346" t="s">
        <v>1</v>
      </c>
      <c r="AE331" s="346" t="s">
        <v>104</v>
      </c>
      <c r="AF331" s="350" t="s">
        <v>31</v>
      </c>
      <c r="AG331" s="369">
        <v>0.107</v>
      </c>
      <c r="AH331" s="370">
        <v>3.3000000000000002E-2</v>
      </c>
      <c r="AI331" s="370">
        <v>0.16700000000000001</v>
      </c>
      <c r="AJ331" s="358">
        <f t="shared" si="22"/>
        <v>360525</v>
      </c>
    </row>
    <row r="332" spans="1:36" s="231" customFormat="1" ht="26">
      <c r="A332" s="350" t="s">
        <v>154</v>
      </c>
      <c r="B332" s="347" t="s">
        <v>184</v>
      </c>
      <c r="C332" s="347"/>
      <c r="D332" s="347"/>
      <c r="E332" s="346"/>
      <c r="F332" s="347"/>
      <c r="G332" s="346"/>
      <c r="H332" s="346"/>
      <c r="I332" s="346"/>
      <c r="J332" s="346"/>
      <c r="K332" s="346"/>
      <c r="L332" s="346"/>
      <c r="M332" s="346"/>
      <c r="N332" s="357"/>
      <c r="O332" s="357"/>
      <c r="P332" s="357"/>
      <c r="Q332" s="357"/>
      <c r="R332" s="346"/>
      <c r="S332" s="346"/>
      <c r="T332" s="346"/>
      <c r="U332" s="346"/>
      <c r="V332" s="346"/>
      <c r="W332" s="346"/>
      <c r="X332" s="346"/>
      <c r="Y332" s="346"/>
      <c r="Z332" s="346"/>
      <c r="AA332" s="346"/>
      <c r="AB332" s="346"/>
      <c r="AC332" s="346">
        <f>SUM(E332:AB332)</f>
        <v>0</v>
      </c>
      <c r="AD332" s="346"/>
      <c r="AE332" s="346"/>
      <c r="AF332" s="350"/>
      <c r="AG332" s="369"/>
      <c r="AH332" s="370"/>
      <c r="AI332" s="370"/>
      <c r="AJ332" s="358">
        <f>(E332*E$6+F332*F$6+G332*G$6+H332*H$6+I332*I$6+J332*J$6+K332*K$6+L332*L$6+M332*M$6+N332*N$6+O332*O$6+P332*P$6+Q332*Q$6+R332*R$6+S332*S$6+T332*T$6+U332*U$6+V332*V$6+W332*W$6+X332*X$6+Y332*Y$6+Z332*Z$6+AA332*AA$6+AB332*AB$6)</f>
        <v>0</v>
      </c>
    </row>
    <row r="333" spans="1:36" s="231" customFormat="1" ht="14">
      <c r="A333" s="350" t="s">
        <v>213</v>
      </c>
      <c r="B333" s="347" t="s">
        <v>185</v>
      </c>
      <c r="C333" s="347"/>
      <c r="D333" s="347"/>
      <c r="E333" s="346"/>
      <c r="F333" s="347"/>
      <c r="G333" s="346"/>
      <c r="H333" s="346"/>
      <c r="I333" s="346"/>
      <c r="J333" s="346"/>
      <c r="K333" s="346"/>
      <c r="L333" s="346"/>
      <c r="M333" s="346"/>
      <c r="N333" s="357"/>
      <c r="O333" s="357"/>
      <c r="P333" s="357"/>
      <c r="Q333" s="357"/>
      <c r="R333" s="346"/>
      <c r="S333" s="346"/>
      <c r="T333" s="346"/>
      <c r="U333" s="346">
        <v>1</v>
      </c>
      <c r="V333" s="346"/>
      <c r="W333" s="346"/>
      <c r="X333" s="346"/>
      <c r="Y333" s="346"/>
      <c r="Z333" s="346"/>
      <c r="AA333" s="346"/>
      <c r="AB333" s="346"/>
      <c r="AC333" s="346">
        <f>SUM(E333:AB333)</f>
        <v>1</v>
      </c>
      <c r="AD333" s="346" t="s">
        <v>444</v>
      </c>
      <c r="AE333" s="346" t="s">
        <v>66</v>
      </c>
      <c r="AF333" s="350" t="s">
        <v>31</v>
      </c>
      <c r="AG333" s="369">
        <v>1.6E-2</v>
      </c>
      <c r="AH333" s="370">
        <v>0.02</v>
      </c>
      <c r="AI333" s="370">
        <v>2.4E-2</v>
      </c>
      <c r="AJ333" s="358">
        <f>(E333*E$6+F333*F$6+G333*G$6+H333*H$6+I333*I$6+J333*J$6+K333*K$6+L333*L$6+M333*M$6+N333*N$6+O333*O$6+P333*P$6+Q333*Q$6+R333*R$6+S333*S$6+T333*T$6+U333*U$6+V333*V$6+W333*W$6+X333*X$6+Y333*Y$6+Z333*Z$6+AA333*AA$6+AB333*AB$6)</f>
        <v>281209.5</v>
      </c>
    </row>
    <row r="334" spans="1:36" s="231" customFormat="1" ht="14">
      <c r="A334" s="350" t="s">
        <v>214</v>
      </c>
      <c r="B334" s="347" t="s">
        <v>186</v>
      </c>
      <c r="C334" s="347"/>
      <c r="D334" s="347"/>
      <c r="E334" s="346"/>
      <c r="F334" s="347"/>
      <c r="G334" s="346"/>
      <c r="H334" s="346"/>
      <c r="I334" s="346"/>
      <c r="J334" s="346"/>
      <c r="K334" s="346"/>
      <c r="L334" s="346"/>
      <c r="M334" s="346"/>
      <c r="N334" s="357"/>
      <c r="O334" s="357"/>
      <c r="P334" s="357"/>
      <c r="Q334" s="357"/>
      <c r="R334" s="346"/>
      <c r="S334" s="346"/>
      <c r="T334" s="346"/>
      <c r="U334" s="346">
        <v>1</v>
      </c>
      <c r="V334" s="346"/>
      <c r="W334" s="346"/>
      <c r="X334" s="346"/>
      <c r="Y334" s="346"/>
      <c r="Z334" s="346"/>
      <c r="AA334" s="346"/>
      <c r="AB334" s="346"/>
      <c r="AC334" s="346">
        <f>SUM(E334:AB334)</f>
        <v>1</v>
      </c>
      <c r="AD334" s="346" t="s">
        <v>444</v>
      </c>
      <c r="AE334" s="346" t="s">
        <v>66</v>
      </c>
      <c r="AF334" s="350" t="s">
        <v>31</v>
      </c>
      <c r="AG334" s="369">
        <v>8.0000000000000002E-3</v>
      </c>
      <c r="AH334" s="370">
        <v>0.01</v>
      </c>
      <c r="AI334" s="370">
        <v>1.2E-2</v>
      </c>
      <c r="AJ334" s="358">
        <f>(E334*E$6+F334*F$6+G334*G$6+H334*H$6+I334*I$6+J334*J$6+K334*K$6+L334*L$6+M334*M$6+N334*N$6+O334*O$6+P334*P$6+Q334*Q$6+R334*R$6+S334*S$6+T334*T$6+U334*U$6+V334*V$6+W334*W$6+X334*X$6+Y334*Y$6+Z334*Z$6+AA334*AA$6+AB334*AB$6)</f>
        <v>281209.5</v>
      </c>
    </row>
    <row r="335" spans="1:36" s="231" customFormat="1" ht="39">
      <c r="A335" s="350" t="s">
        <v>155</v>
      </c>
      <c r="B335" s="347" t="s">
        <v>187</v>
      </c>
      <c r="C335" s="347"/>
      <c r="D335" s="347"/>
      <c r="E335" s="346"/>
      <c r="F335" s="347"/>
      <c r="G335" s="346"/>
      <c r="H335" s="346"/>
      <c r="I335" s="346"/>
      <c r="J335" s="346"/>
      <c r="K335" s="346"/>
      <c r="L335" s="346"/>
      <c r="M335" s="346"/>
      <c r="N335" s="357"/>
      <c r="O335" s="357"/>
      <c r="P335" s="357"/>
      <c r="Q335" s="357"/>
      <c r="R335" s="346"/>
      <c r="S335" s="346"/>
      <c r="T335" s="346"/>
      <c r="U335" s="346">
        <v>1</v>
      </c>
      <c r="V335" s="346"/>
      <c r="W335" s="346"/>
      <c r="X335" s="346"/>
      <c r="Y335" s="346"/>
      <c r="Z335" s="346"/>
      <c r="AA335" s="346"/>
      <c r="AB335" s="346"/>
      <c r="AC335" s="346">
        <f>SUM(E335:AB335)</f>
        <v>1</v>
      </c>
      <c r="AD335" s="346" t="s">
        <v>444</v>
      </c>
      <c r="AE335" s="346" t="s">
        <v>66</v>
      </c>
      <c r="AF335" s="350" t="s">
        <v>31</v>
      </c>
      <c r="AG335" s="369">
        <v>4.0000000000000001E-3</v>
      </c>
      <c r="AH335" s="370">
        <v>5.0000000000000001E-3</v>
      </c>
      <c r="AI335" s="370">
        <v>6.0000000000000001E-3</v>
      </c>
      <c r="AJ335" s="358">
        <f>(E335*E$6+F335*F$6+G335*G$6+H335*H$6+I335*I$6+J335*J$6+K335*K$6+L335*L$6+M335*M$6+N335*N$6+O335*O$6+P335*P$6+Q335*Q$6+R335*R$6+S335*S$6+T335*T$6+U335*U$6+V335*V$6+W335*W$6+X335*X$6+Y335*Y$6+Z335*Z$6+AA335*AA$6+AB335*AB$6)</f>
        <v>281209.5</v>
      </c>
    </row>
    <row r="336" spans="1:36" s="231" customFormat="1" ht="14">
      <c r="A336" s="311">
        <v>6</v>
      </c>
      <c r="B336" s="312" t="s">
        <v>467</v>
      </c>
      <c r="C336" s="312"/>
      <c r="D336" s="312"/>
      <c r="E336" s="346"/>
      <c r="F336" s="347"/>
      <c r="G336" s="346"/>
      <c r="H336" s="346"/>
      <c r="I336" s="346"/>
      <c r="J336" s="346"/>
      <c r="K336" s="346"/>
      <c r="L336" s="346"/>
      <c r="M336" s="346"/>
      <c r="N336" s="357"/>
      <c r="O336" s="357"/>
      <c r="P336" s="357"/>
      <c r="Q336" s="357"/>
      <c r="R336" s="346"/>
      <c r="S336" s="346"/>
      <c r="T336" s="346"/>
      <c r="U336" s="346"/>
      <c r="V336" s="346"/>
      <c r="W336" s="346"/>
      <c r="X336" s="346"/>
      <c r="Y336" s="346"/>
      <c r="Z336" s="346"/>
      <c r="AA336" s="346"/>
      <c r="AB336" s="346"/>
      <c r="AC336" s="346"/>
      <c r="AD336" s="346"/>
      <c r="AE336" s="346"/>
      <c r="AF336" s="350"/>
      <c r="AG336" s="369"/>
      <c r="AH336" s="370"/>
      <c r="AI336" s="370"/>
      <c r="AJ336" s="358"/>
    </row>
    <row r="337" spans="1:36" s="231" customFormat="1" ht="14">
      <c r="A337" s="311">
        <v>6.1</v>
      </c>
      <c r="B337" s="312" t="s">
        <v>149</v>
      </c>
      <c r="C337" s="312"/>
      <c r="D337" s="312"/>
      <c r="E337" s="346"/>
      <c r="F337" s="347"/>
      <c r="G337" s="346"/>
      <c r="H337" s="346"/>
      <c r="I337" s="346"/>
      <c r="J337" s="346"/>
      <c r="K337" s="346"/>
      <c r="L337" s="346"/>
      <c r="M337" s="346"/>
      <c r="N337" s="357"/>
      <c r="O337" s="357"/>
      <c r="P337" s="357"/>
      <c r="Q337" s="357"/>
      <c r="R337" s="346"/>
      <c r="S337" s="346"/>
      <c r="T337" s="346"/>
      <c r="U337" s="346"/>
      <c r="V337" s="346">
        <v>1</v>
      </c>
      <c r="W337" s="346"/>
      <c r="X337" s="346"/>
      <c r="Y337" s="346"/>
      <c r="Z337" s="346"/>
      <c r="AA337" s="346"/>
      <c r="AB337" s="346"/>
      <c r="AC337" s="278">
        <f t="shared" si="23"/>
        <v>1</v>
      </c>
      <c r="AD337" s="346" t="s">
        <v>51</v>
      </c>
      <c r="AE337" s="278" t="s">
        <v>67</v>
      </c>
      <c r="AF337" s="342" t="s">
        <v>31</v>
      </c>
      <c r="AG337" s="415">
        <v>0.05</v>
      </c>
      <c r="AH337" s="415">
        <v>0.05</v>
      </c>
      <c r="AI337" s="415">
        <v>0.05</v>
      </c>
      <c r="AJ337" s="351">
        <f t="shared" si="22"/>
        <v>320867.25</v>
      </c>
    </row>
    <row r="338" spans="1:36" s="231" customFormat="1" ht="14">
      <c r="A338" s="311">
        <v>6.2</v>
      </c>
      <c r="B338" s="312" t="s">
        <v>151</v>
      </c>
      <c r="C338" s="312"/>
      <c r="D338" s="312"/>
      <c r="E338" s="346"/>
      <c r="F338" s="347"/>
      <c r="G338" s="346"/>
      <c r="H338" s="346"/>
      <c r="I338" s="346"/>
      <c r="J338" s="346"/>
      <c r="K338" s="346"/>
      <c r="L338" s="346"/>
      <c r="M338" s="346"/>
      <c r="N338" s="357"/>
      <c r="O338" s="357"/>
      <c r="P338" s="357"/>
      <c r="Q338" s="357"/>
      <c r="R338" s="346"/>
      <c r="S338" s="346"/>
      <c r="T338" s="346"/>
      <c r="U338" s="346"/>
      <c r="V338" s="346">
        <v>1</v>
      </c>
      <c r="W338" s="346"/>
      <c r="X338" s="346"/>
      <c r="Y338" s="346"/>
      <c r="Z338" s="346"/>
      <c r="AA338" s="346"/>
      <c r="AB338" s="346"/>
      <c r="AC338" s="278">
        <f t="shared" si="23"/>
        <v>1</v>
      </c>
      <c r="AD338" s="346" t="s">
        <v>51</v>
      </c>
      <c r="AE338" s="278" t="s">
        <v>67</v>
      </c>
      <c r="AF338" s="342" t="s">
        <v>31</v>
      </c>
      <c r="AG338" s="415">
        <v>0.04</v>
      </c>
      <c r="AH338" s="415">
        <v>0.04</v>
      </c>
      <c r="AI338" s="415">
        <v>0.04</v>
      </c>
      <c r="AJ338" s="351">
        <f t="shared" si="22"/>
        <v>320867.25</v>
      </c>
    </row>
    <row r="339" spans="1:36" s="231" customFormat="1" ht="26">
      <c r="A339" s="605" t="s">
        <v>157</v>
      </c>
      <c r="B339" s="606" t="s">
        <v>506</v>
      </c>
      <c r="C339" s="606"/>
      <c r="D339" s="606"/>
      <c r="E339" s="346"/>
      <c r="F339" s="347"/>
      <c r="G339" s="346"/>
      <c r="H339" s="346"/>
      <c r="I339" s="346"/>
      <c r="J339" s="346"/>
      <c r="K339" s="346"/>
      <c r="L339" s="346"/>
      <c r="M339" s="346"/>
      <c r="N339" s="357"/>
      <c r="O339" s="357"/>
      <c r="P339" s="357"/>
      <c r="Q339" s="357"/>
      <c r="R339" s="346"/>
      <c r="S339" s="346"/>
      <c r="T339" s="346"/>
      <c r="U339" s="346"/>
      <c r="V339" s="346"/>
      <c r="W339" s="346"/>
      <c r="X339" s="346"/>
      <c r="Y339" s="346"/>
      <c r="Z339" s="346"/>
      <c r="AA339" s="346"/>
      <c r="AB339" s="346"/>
      <c r="AC339" s="346"/>
      <c r="AD339" s="346"/>
      <c r="AE339" s="346"/>
      <c r="AF339" s="350"/>
      <c r="AG339" s="369"/>
      <c r="AH339" s="370"/>
      <c r="AI339" s="370"/>
      <c r="AJ339" s="358"/>
    </row>
    <row r="340" spans="1:36" s="231" customFormat="1" ht="14">
      <c r="A340" s="350" t="s">
        <v>169</v>
      </c>
      <c r="B340" s="347" t="s">
        <v>577</v>
      </c>
      <c r="C340" s="347"/>
      <c r="D340" s="347"/>
      <c r="E340" s="346"/>
      <c r="F340" s="347"/>
      <c r="G340" s="346"/>
      <c r="H340" s="346"/>
      <c r="I340" s="346"/>
      <c r="J340" s="346"/>
      <c r="K340" s="346"/>
      <c r="L340" s="346"/>
      <c r="M340" s="346"/>
      <c r="N340" s="357"/>
      <c r="O340" s="357"/>
      <c r="P340" s="357"/>
      <c r="Q340" s="357"/>
      <c r="R340" s="346"/>
      <c r="S340" s="346"/>
      <c r="T340" s="346"/>
      <c r="U340" s="346"/>
      <c r="V340" s="346"/>
      <c r="W340" s="346"/>
      <c r="X340" s="346"/>
      <c r="Y340" s="346"/>
      <c r="Z340" s="346"/>
      <c r="AA340" s="346"/>
      <c r="AB340" s="346"/>
      <c r="AC340" s="346"/>
      <c r="AD340" s="346"/>
      <c r="AE340" s="346"/>
      <c r="AF340" s="350"/>
      <c r="AG340" s="369"/>
      <c r="AH340" s="370"/>
      <c r="AI340" s="370"/>
      <c r="AJ340" s="358"/>
    </row>
    <row r="341" spans="1:36" s="410" customFormat="1" ht="65">
      <c r="A341" s="439" t="s">
        <v>547</v>
      </c>
      <c r="B341" s="440" t="s">
        <v>465</v>
      </c>
      <c r="C341" s="440"/>
      <c r="D341" s="440"/>
      <c r="E341" s="430"/>
      <c r="F341" s="365"/>
      <c r="G341" s="430"/>
      <c r="H341" s="430"/>
      <c r="I341" s="430"/>
      <c r="J341" s="430"/>
      <c r="K341" s="430"/>
      <c r="L341" s="430"/>
      <c r="M341" s="430"/>
      <c r="N341" s="427"/>
      <c r="O341" s="427"/>
      <c r="P341" s="427"/>
      <c r="Q341" s="427"/>
      <c r="R341" s="430"/>
      <c r="S341" s="430"/>
      <c r="T341" s="430"/>
      <c r="U341" s="430"/>
      <c r="V341" s="430">
        <v>1</v>
      </c>
      <c r="W341" s="430">
        <v>1</v>
      </c>
      <c r="X341" s="430"/>
      <c r="Y341" s="430"/>
      <c r="Z341" s="430"/>
      <c r="AA341" s="430"/>
      <c r="AB341" s="430"/>
      <c r="AC341" s="430">
        <f t="shared" si="23"/>
        <v>2</v>
      </c>
      <c r="AD341" s="430" t="s">
        <v>51</v>
      </c>
      <c r="AE341" s="439" t="s">
        <v>474</v>
      </c>
      <c r="AF341" s="304" t="s">
        <v>31</v>
      </c>
      <c r="AG341" s="451">
        <v>0.5</v>
      </c>
      <c r="AH341" s="451">
        <v>0.5</v>
      </c>
      <c r="AI341" s="451">
        <v>0.8</v>
      </c>
      <c r="AJ341" s="432">
        <f t="shared" si="22"/>
        <v>681392.25</v>
      </c>
    </row>
    <row r="342" spans="1:36" s="231" customFormat="1" ht="14">
      <c r="A342" s="311">
        <v>7.2</v>
      </c>
      <c r="B342" s="312" t="s">
        <v>550</v>
      </c>
      <c r="C342" s="312"/>
      <c r="D342" s="312"/>
      <c r="E342" s="346"/>
      <c r="F342" s="347"/>
      <c r="G342" s="346"/>
      <c r="H342" s="346"/>
      <c r="I342" s="346"/>
      <c r="J342" s="346"/>
      <c r="K342" s="346"/>
      <c r="L342" s="346"/>
      <c r="M342" s="346"/>
      <c r="N342" s="357"/>
      <c r="O342" s="357"/>
      <c r="P342" s="357"/>
      <c r="Q342" s="357"/>
      <c r="R342" s="346"/>
      <c r="S342" s="346"/>
      <c r="T342" s="346"/>
      <c r="U342" s="346"/>
      <c r="V342" s="346"/>
      <c r="W342" s="346"/>
      <c r="X342" s="346"/>
      <c r="Y342" s="346"/>
      <c r="Z342" s="346"/>
      <c r="AA342" s="346"/>
      <c r="AB342" s="346"/>
      <c r="AC342" s="346"/>
      <c r="AD342" s="346"/>
      <c r="AE342" s="311"/>
      <c r="AF342" s="342"/>
      <c r="AG342" s="415"/>
      <c r="AH342" s="415"/>
      <c r="AI342" s="415"/>
      <c r="AJ342" s="358"/>
    </row>
    <row r="343" spans="1:36" s="410" customFormat="1" ht="52">
      <c r="A343" s="439" t="s">
        <v>551</v>
      </c>
      <c r="B343" s="440" t="s">
        <v>468</v>
      </c>
      <c r="C343" s="440"/>
      <c r="D343" s="440"/>
      <c r="E343" s="430"/>
      <c r="F343" s="365"/>
      <c r="G343" s="430"/>
      <c r="H343" s="430"/>
      <c r="I343" s="430"/>
      <c r="J343" s="430"/>
      <c r="K343" s="430"/>
      <c r="L343" s="430"/>
      <c r="M343" s="430"/>
      <c r="N343" s="427"/>
      <c r="O343" s="427"/>
      <c r="P343" s="427"/>
      <c r="Q343" s="427"/>
      <c r="R343" s="430"/>
      <c r="S343" s="430"/>
      <c r="T343" s="430"/>
      <c r="U343" s="430"/>
      <c r="V343" s="430"/>
      <c r="W343" s="430">
        <v>1</v>
      </c>
      <c r="X343" s="430"/>
      <c r="Y343" s="430"/>
      <c r="Z343" s="430"/>
      <c r="AA343" s="430"/>
      <c r="AB343" s="430"/>
      <c r="AC343" s="430">
        <f t="shared" si="23"/>
        <v>1</v>
      </c>
      <c r="AD343" s="430" t="s">
        <v>51</v>
      </c>
      <c r="AE343" s="439" t="s">
        <v>104</v>
      </c>
      <c r="AF343" s="304" t="s">
        <v>31</v>
      </c>
      <c r="AG343" s="451">
        <v>0.5</v>
      </c>
      <c r="AH343" s="451">
        <v>0.5</v>
      </c>
      <c r="AI343" s="451">
        <v>0.65</v>
      </c>
      <c r="AJ343" s="432">
        <f t="shared" si="22"/>
        <v>360525</v>
      </c>
    </row>
    <row r="344" spans="1:36" s="410" customFormat="1" ht="39">
      <c r="A344" s="439" t="s">
        <v>552</v>
      </c>
      <c r="B344" s="440" t="s">
        <v>475</v>
      </c>
      <c r="C344" s="440"/>
      <c r="D344" s="440"/>
      <c r="E344" s="430"/>
      <c r="F344" s="365"/>
      <c r="G344" s="430"/>
      <c r="H344" s="430"/>
      <c r="I344" s="430"/>
      <c r="J344" s="430"/>
      <c r="K344" s="430"/>
      <c r="L344" s="430"/>
      <c r="M344" s="430"/>
      <c r="N344" s="427"/>
      <c r="O344" s="427"/>
      <c r="P344" s="427"/>
      <c r="Q344" s="427"/>
      <c r="R344" s="430"/>
      <c r="S344" s="430"/>
      <c r="T344" s="430"/>
      <c r="U344" s="430"/>
      <c r="V344" s="430"/>
      <c r="W344" s="430">
        <v>1</v>
      </c>
      <c r="X344" s="430"/>
      <c r="Y344" s="430"/>
      <c r="Z344" s="430"/>
      <c r="AA344" s="430"/>
      <c r="AB344" s="430"/>
      <c r="AC344" s="430">
        <f t="shared" si="23"/>
        <v>1</v>
      </c>
      <c r="AD344" s="430" t="s">
        <v>51</v>
      </c>
      <c r="AE344" s="439" t="s">
        <v>104</v>
      </c>
      <c r="AF344" s="304" t="s">
        <v>31</v>
      </c>
      <c r="AG344" s="439">
        <v>0.2</v>
      </c>
      <c r="AH344" s="439">
        <v>0.2</v>
      </c>
      <c r="AI344" s="439">
        <v>0.3</v>
      </c>
      <c r="AJ344" s="432">
        <f t="shared" si="22"/>
        <v>360525</v>
      </c>
    </row>
    <row r="345" spans="1:36" s="231" customFormat="1" ht="36" customHeight="1">
      <c r="A345" s="350" t="s">
        <v>158</v>
      </c>
      <c r="B345" s="347" t="s">
        <v>227</v>
      </c>
      <c r="C345" s="347"/>
      <c r="D345" s="347"/>
      <c r="E345" s="346"/>
      <c r="F345" s="347"/>
      <c r="G345" s="346"/>
      <c r="H345" s="346"/>
      <c r="I345" s="346"/>
      <c r="J345" s="346"/>
      <c r="K345" s="346"/>
      <c r="L345" s="346"/>
      <c r="M345" s="346"/>
      <c r="N345" s="357"/>
      <c r="O345" s="357"/>
      <c r="P345" s="357"/>
      <c r="Q345" s="357"/>
      <c r="R345" s="346"/>
      <c r="S345" s="346"/>
      <c r="T345" s="346"/>
      <c r="U345" s="346"/>
      <c r="V345" s="346"/>
      <c r="W345" s="346">
        <v>1</v>
      </c>
      <c r="X345" s="346"/>
      <c r="Y345" s="346"/>
      <c r="Z345" s="346"/>
      <c r="AA345" s="346"/>
      <c r="AB345" s="346"/>
      <c r="AC345" s="346">
        <f t="shared" si="23"/>
        <v>1</v>
      </c>
      <c r="AD345" s="346" t="s">
        <v>1</v>
      </c>
      <c r="AE345" s="346" t="s">
        <v>104</v>
      </c>
      <c r="AF345" s="350" t="s">
        <v>31</v>
      </c>
      <c r="AG345" s="369">
        <v>6.0000000000000001E-3</v>
      </c>
      <c r="AH345" s="370">
        <v>6.0000000000000001E-3</v>
      </c>
      <c r="AI345" s="370">
        <v>6.0000000000000001E-3</v>
      </c>
      <c r="AJ345" s="358">
        <f t="shared" si="22"/>
        <v>360525</v>
      </c>
    </row>
    <row r="346" spans="1:36" s="231" customFormat="1" ht="26">
      <c r="A346" s="569" t="s">
        <v>161</v>
      </c>
      <c r="B346" s="366" t="s">
        <v>578</v>
      </c>
      <c r="C346" s="366"/>
      <c r="D346" s="366"/>
      <c r="E346" s="311"/>
      <c r="F346" s="366"/>
      <c r="G346" s="311"/>
      <c r="H346" s="311"/>
      <c r="I346" s="311"/>
      <c r="J346" s="311"/>
      <c r="K346" s="311"/>
      <c r="L346" s="311"/>
      <c r="M346" s="311"/>
      <c r="N346" s="367"/>
      <c r="O346" s="367"/>
      <c r="P346" s="367"/>
      <c r="Q346" s="367"/>
      <c r="R346" s="311"/>
      <c r="S346" s="311"/>
      <c r="T346" s="311"/>
      <c r="U346" s="311"/>
      <c r="V346" s="311"/>
      <c r="W346" s="311"/>
      <c r="X346" s="311"/>
      <c r="Y346" s="311"/>
      <c r="Z346" s="311"/>
      <c r="AA346" s="311"/>
      <c r="AB346" s="311"/>
      <c r="AC346" s="311">
        <f t="shared" si="23"/>
        <v>0</v>
      </c>
      <c r="AD346" s="311"/>
      <c r="AE346" s="311"/>
      <c r="AF346" s="569"/>
      <c r="AG346" s="415"/>
      <c r="AH346" s="581"/>
      <c r="AI346" s="581"/>
      <c r="AJ346" s="374">
        <f t="shared" si="22"/>
        <v>0</v>
      </c>
    </row>
    <row r="347" spans="1:36" s="410" customFormat="1" ht="14">
      <c r="A347" s="563" t="s">
        <v>557</v>
      </c>
      <c r="B347" s="564" t="s">
        <v>163</v>
      </c>
      <c r="C347" s="564"/>
      <c r="D347" s="564"/>
      <c r="E347" s="439"/>
      <c r="F347" s="564"/>
      <c r="G347" s="439"/>
      <c r="H347" s="439"/>
      <c r="I347" s="439"/>
      <c r="J347" s="439"/>
      <c r="K347" s="439"/>
      <c r="L347" s="439"/>
      <c r="M347" s="439"/>
      <c r="N347" s="575"/>
      <c r="O347" s="575"/>
      <c r="P347" s="575"/>
      <c r="Q347" s="575"/>
      <c r="R347" s="439"/>
      <c r="S347" s="439"/>
      <c r="T347" s="439"/>
      <c r="U347" s="439"/>
      <c r="V347" s="439">
        <v>1</v>
      </c>
      <c r="W347" s="439"/>
      <c r="X347" s="439"/>
      <c r="Y347" s="439"/>
      <c r="Z347" s="439"/>
      <c r="AA347" s="439"/>
      <c r="AB347" s="439"/>
      <c r="AC347" s="439">
        <f t="shared" si="23"/>
        <v>1</v>
      </c>
      <c r="AD347" s="439" t="s">
        <v>51</v>
      </c>
      <c r="AE347" s="439" t="s">
        <v>67</v>
      </c>
      <c r="AF347" s="563" t="s">
        <v>31</v>
      </c>
      <c r="AG347" s="451">
        <v>0.05</v>
      </c>
      <c r="AH347" s="587">
        <v>0</v>
      </c>
      <c r="AI347" s="587">
        <v>0.05</v>
      </c>
      <c r="AJ347" s="576">
        <f t="shared" si="22"/>
        <v>320867.25</v>
      </c>
    </row>
    <row r="348" spans="1:36" s="410" customFormat="1" ht="14">
      <c r="A348" s="563" t="s">
        <v>558</v>
      </c>
      <c r="B348" s="564" t="s">
        <v>164</v>
      </c>
      <c r="C348" s="564"/>
      <c r="D348" s="564"/>
      <c r="E348" s="439"/>
      <c r="F348" s="564"/>
      <c r="G348" s="439"/>
      <c r="H348" s="439"/>
      <c r="I348" s="439"/>
      <c r="J348" s="439"/>
      <c r="K348" s="439"/>
      <c r="L348" s="439"/>
      <c r="M348" s="439"/>
      <c r="N348" s="575"/>
      <c r="O348" s="575"/>
      <c r="P348" s="575"/>
      <c r="Q348" s="575"/>
      <c r="R348" s="439"/>
      <c r="S348" s="439"/>
      <c r="T348" s="439"/>
      <c r="U348" s="439"/>
      <c r="V348" s="439">
        <v>1</v>
      </c>
      <c r="W348" s="439"/>
      <c r="X348" s="439"/>
      <c r="Y348" s="439"/>
      <c r="Z348" s="439"/>
      <c r="AA348" s="439"/>
      <c r="AB348" s="439"/>
      <c r="AC348" s="439">
        <f t="shared" si="23"/>
        <v>1</v>
      </c>
      <c r="AD348" s="439" t="s">
        <v>51</v>
      </c>
      <c r="AE348" s="439" t="s">
        <v>67</v>
      </c>
      <c r="AF348" s="563" t="s">
        <v>31</v>
      </c>
      <c r="AG348" s="451">
        <v>0.1</v>
      </c>
      <c r="AH348" s="587">
        <v>0</v>
      </c>
      <c r="AI348" s="587">
        <v>0.1</v>
      </c>
      <c r="AJ348" s="576">
        <f t="shared" si="22"/>
        <v>320867.25</v>
      </c>
    </row>
    <row r="349" spans="1:36" s="410" customFormat="1" ht="26">
      <c r="A349" s="311">
        <v>10</v>
      </c>
      <c r="B349" s="312" t="s">
        <v>469</v>
      </c>
      <c r="C349" s="312"/>
      <c r="D349" s="312"/>
      <c r="E349" s="311"/>
      <c r="F349" s="366"/>
      <c r="G349" s="311"/>
      <c r="H349" s="311"/>
      <c r="I349" s="311"/>
      <c r="J349" s="311"/>
      <c r="K349" s="311"/>
      <c r="L349" s="311"/>
      <c r="M349" s="311"/>
      <c r="N349" s="367"/>
      <c r="O349" s="367"/>
      <c r="P349" s="367"/>
      <c r="Q349" s="367"/>
      <c r="R349" s="311"/>
      <c r="S349" s="311"/>
      <c r="T349" s="311"/>
      <c r="U349" s="311"/>
      <c r="V349" s="311"/>
      <c r="W349" s="311"/>
      <c r="X349" s="311"/>
      <c r="Y349" s="311"/>
      <c r="Z349" s="311"/>
      <c r="AA349" s="311"/>
      <c r="AB349" s="311"/>
      <c r="AC349" s="311"/>
      <c r="AD349" s="311"/>
      <c r="AE349" s="311"/>
      <c r="AF349" s="569"/>
      <c r="AG349" s="311"/>
      <c r="AH349" s="311"/>
      <c r="AI349" s="311"/>
      <c r="AJ349" s="374"/>
    </row>
    <row r="350" spans="1:36" s="410" customFormat="1" ht="14">
      <c r="A350" s="439">
        <v>10.1</v>
      </c>
      <c r="B350" s="440" t="s">
        <v>470</v>
      </c>
      <c r="C350" s="440"/>
      <c r="D350" s="440"/>
      <c r="E350" s="439"/>
      <c r="F350" s="564"/>
      <c r="G350" s="439"/>
      <c r="H350" s="439"/>
      <c r="I350" s="439"/>
      <c r="J350" s="439"/>
      <c r="K350" s="439"/>
      <c r="L350" s="439"/>
      <c r="M350" s="439"/>
      <c r="N350" s="575"/>
      <c r="O350" s="575"/>
      <c r="P350" s="575"/>
      <c r="Q350" s="575"/>
      <c r="R350" s="439"/>
      <c r="S350" s="439"/>
      <c r="T350" s="439"/>
      <c r="U350" s="439"/>
      <c r="V350" s="439"/>
      <c r="W350" s="439">
        <v>1</v>
      </c>
      <c r="X350" s="439"/>
      <c r="Y350" s="439"/>
      <c r="Z350" s="439"/>
      <c r="AA350" s="439"/>
      <c r="AB350" s="439"/>
      <c r="AC350" s="439">
        <f t="shared" si="23"/>
        <v>1</v>
      </c>
      <c r="AD350" s="439" t="s">
        <v>51</v>
      </c>
      <c r="AE350" s="439" t="s">
        <v>104</v>
      </c>
      <c r="AF350" s="568" t="s">
        <v>31</v>
      </c>
      <c r="AG350" s="451">
        <v>0.08</v>
      </c>
      <c r="AH350" s="451">
        <v>0.08</v>
      </c>
      <c r="AI350" s="451">
        <v>0.1</v>
      </c>
      <c r="AJ350" s="576">
        <f t="shared" si="22"/>
        <v>360525</v>
      </c>
    </row>
    <row r="351" spans="1:36" s="410" customFormat="1" ht="14">
      <c r="A351" s="439">
        <v>10.199999999999999</v>
      </c>
      <c r="B351" s="440" t="s">
        <v>471</v>
      </c>
      <c r="C351" s="440"/>
      <c r="D351" s="440"/>
      <c r="E351" s="439"/>
      <c r="F351" s="564"/>
      <c r="G351" s="439"/>
      <c r="H351" s="439"/>
      <c r="I351" s="439"/>
      <c r="J351" s="439"/>
      <c r="K351" s="439"/>
      <c r="L351" s="439"/>
      <c r="M351" s="439"/>
      <c r="N351" s="575"/>
      <c r="O351" s="575"/>
      <c r="P351" s="575"/>
      <c r="Q351" s="575"/>
      <c r="R351" s="439"/>
      <c r="S351" s="439"/>
      <c r="T351" s="439"/>
      <c r="U351" s="439"/>
      <c r="V351" s="439"/>
      <c r="W351" s="439">
        <v>1</v>
      </c>
      <c r="X351" s="439"/>
      <c r="Y351" s="439"/>
      <c r="Z351" s="439"/>
      <c r="AA351" s="439"/>
      <c r="AB351" s="439"/>
      <c r="AC351" s="439">
        <f t="shared" si="23"/>
        <v>1</v>
      </c>
      <c r="AD351" s="439" t="s">
        <v>51</v>
      </c>
      <c r="AE351" s="439" t="s">
        <v>104</v>
      </c>
      <c r="AF351" s="568" t="s">
        <v>31</v>
      </c>
      <c r="AG351" s="451">
        <v>0.1</v>
      </c>
      <c r="AH351" s="451">
        <v>0.1</v>
      </c>
      <c r="AI351" s="451">
        <v>0.15</v>
      </c>
      <c r="AJ351" s="576">
        <f t="shared" si="22"/>
        <v>360525</v>
      </c>
    </row>
    <row r="352" spans="1:36" s="410" customFormat="1" ht="26">
      <c r="A352" s="311">
        <v>11</v>
      </c>
      <c r="B352" s="312" t="s">
        <v>472</v>
      </c>
      <c r="C352" s="312"/>
      <c r="D352" s="312"/>
      <c r="E352" s="311"/>
      <c r="F352" s="366"/>
      <c r="G352" s="311"/>
      <c r="H352" s="311"/>
      <c r="I352" s="311"/>
      <c r="J352" s="311"/>
      <c r="K352" s="311"/>
      <c r="L352" s="311"/>
      <c r="M352" s="311"/>
      <c r="N352" s="367"/>
      <c r="O352" s="367"/>
      <c r="P352" s="367"/>
      <c r="Q352" s="367"/>
      <c r="R352" s="311"/>
      <c r="S352" s="311"/>
      <c r="T352" s="311"/>
      <c r="U352" s="311"/>
      <c r="V352" s="311"/>
      <c r="W352" s="311"/>
      <c r="X352" s="311"/>
      <c r="Y352" s="311"/>
      <c r="Z352" s="311"/>
      <c r="AA352" s="311"/>
      <c r="AB352" s="311"/>
      <c r="AC352" s="311"/>
      <c r="AD352" s="311"/>
      <c r="AE352" s="311"/>
      <c r="AF352" s="569"/>
      <c r="AG352" s="311"/>
      <c r="AH352" s="311"/>
      <c r="AI352" s="311"/>
      <c r="AJ352" s="374"/>
    </row>
    <row r="353" spans="1:36" s="410" customFormat="1" ht="14">
      <c r="A353" s="439">
        <v>11.1</v>
      </c>
      <c r="B353" s="440" t="s">
        <v>470</v>
      </c>
      <c r="C353" s="440"/>
      <c r="D353" s="440"/>
      <c r="E353" s="439"/>
      <c r="F353" s="564"/>
      <c r="G353" s="439"/>
      <c r="H353" s="439"/>
      <c r="I353" s="439"/>
      <c r="J353" s="439"/>
      <c r="K353" s="439"/>
      <c r="L353" s="439"/>
      <c r="M353" s="439"/>
      <c r="N353" s="575"/>
      <c r="O353" s="575"/>
      <c r="P353" s="575"/>
      <c r="Q353" s="575"/>
      <c r="R353" s="439"/>
      <c r="S353" s="439"/>
      <c r="T353" s="439"/>
      <c r="U353" s="439"/>
      <c r="V353" s="439">
        <v>1</v>
      </c>
      <c r="W353" s="439"/>
      <c r="X353" s="439"/>
      <c r="Y353" s="439"/>
      <c r="Z353" s="439"/>
      <c r="AA353" s="439"/>
      <c r="AB353" s="439"/>
      <c r="AC353" s="439">
        <f t="shared" si="23"/>
        <v>1</v>
      </c>
      <c r="AD353" s="439" t="s">
        <v>51</v>
      </c>
      <c r="AE353" s="439" t="s">
        <v>67</v>
      </c>
      <c r="AF353" s="568" t="s">
        <v>31</v>
      </c>
      <c r="AG353" s="451">
        <v>0.04</v>
      </c>
      <c r="AH353" s="451">
        <v>0.04</v>
      </c>
      <c r="AI353" s="451">
        <v>0.04</v>
      </c>
      <c r="AJ353" s="576">
        <f t="shared" si="22"/>
        <v>320867.25</v>
      </c>
    </row>
    <row r="354" spans="1:36" s="410" customFormat="1" ht="14">
      <c r="A354" s="439">
        <v>11.2</v>
      </c>
      <c r="B354" s="440" t="s">
        <v>471</v>
      </c>
      <c r="C354" s="440"/>
      <c r="D354" s="440"/>
      <c r="E354" s="439"/>
      <c r="F354" s="564"/>
      <c r="G354" s="439"/>
      <c r="H354" s="439"/>
      <c r="I354" s="439"/>
      <c r="J354" s="439"/>
      <c r="K354" s="439"/>
      <c r="L354" s="439"/>
      <c r="M354" s="439"/>
      <c r="N354" s="575"/>
      <c r="O354" s="575"/>
      <c r="P354" s="575"/>
      <c r="Q354" s="575"/>
      <c r="R354" s="439"/>
      <c r="S354" s="439"/>
      <c r="T354" s="439"/>
      <c r="U354" s="439"/>
      <c r="V354" s="439">
        <v>1</v>
      </c>
      <c r="W354" s="439"/>
      <c r="X354" s="439"/>
      <c r="Y354" s="439"/>
      <c r="Z354" s="439"/>
      <c r="AA354" s="439"/>
      <c r="AB354" s="439"/>
      <c r="AC354" s="439">
        <f t="shared" si="23"/>
        <v>1</v>
      </c>
      <c r="AD354" s="439" t="s">
        <v>51</v>
      </c>
      <c r="AE354" s="439" t="s">
        <v>67</v>
      </c>
      <c r="AF354" s="568" t="s">
        <v>31</v>
      </c>
      <c r="AG354" s="451">
        <v>0.03</v>
      </c>
      <c r="AH354" s="451">
        <v>0.03</v>
      </c>
      <c r="AI354" s="451">
        <v>0.03</v>
      </c>
      <c r="AJ354" s="576">
        <f t="shared" si="22"/>
        <v>320867.25</v>
      </c>
    </row>
    <row r="355" spans="1:36" s="231" customFormat="1" ht="26">
      <c r="A355" s="569" t="s">
        <v>179</v>
      </c>
      <c r="B355" s="366" t="s">
        <v>224</v>
      </c>
      <c r="C355" s="366"/>
      <c r="D355" s="366"/>
      <c r="E355" s="311"/>
      <c r="F355" s="366"/>
      <c r="G355" s="311"/>
      <c r="H355" s="311"/>
      <c r="I355" s="311"/>
      <c r="J355" s="311"/>
      <c r="K355" s="311"/>
      <c r="L355" s="311"/>
      <c r="M355" s="311"/>
      <c r="N355" s="367"/>
      <c r="O355" s="367"/>
      <c r="P355" s="367"/>
      <c r="Q355" s="367"/>
      <c r="R355" s="311"/>
      <c r="S355" s="311"/>
      <c r="T355" s="311"/>
      <c r="U355" s="311"/>
      <c r="V355" s="311"/>
      <c r="W355" s="311">
        <v>1</v>
      </c>
      <c r="X355" s="311"/>
      <c r="Y355" s="311"/>
      <c r="Z355" s="311"/>
      <c r="AA355" s="311"/>
      <c r="AB355" s="311"/>
      <c r="AC355" s="311">
        <f t="shared" si="23"/>
        <v>1</v>
      </c>
      <c r="AD355" s="311" t="s">
        <v>1</v>
      </c>
      <c r="AE355" s="311" t="s">
        <v>104</v>
      </c>
      <c r="AF355" s="569" t="s">
        <v>31</v>
      </c>
      <c r="AG355" s="415">
        <v>0.107</v>
      </c>
      <c r="AH355" s="581">
        <v>3.3000000000000002E-2</v>
      </c>
      <c r="AI355" s="581">
        <v>0.16700000000000001</v>
      </c>
      <c r="AJ355" s="374">
        <f t="shared" si="22"/>
        <v>360525</v>
      </c>
    </row>
    <row r="356" spans="1:36" s="231" customFormat="1" ht="14">
      <c r="A356" s="569" t="s">
        <v>180</v>
      </c>
      <c r="B356" s="366" t="s">
        <v>174</v>
      </c>
      <c r="C356" s="366"/>
      <c r="D356" s="366"/>
      <c r="E356" s="311"/>
      <c r="F356" s="366"/>
      <c r="G356" s="311"/>
      <c r="H356" s="311"/>
      <c r="I356" s="311"/>
      <c r="J356" s="311"/>
      <c r="K356" s="311"/>
      <c r="L356" s="311"/>
      <c r="M356" s="311"/>
      <c r="N356" s="367"/>
      <c r="O356" s="367"/>
      <c r="P356" s="367"/>
      <c r="Q356" s="367"/>
      <c r="R356" s="311"/>
      <c r="S356" s="311"/>
      <c r="T356" s="311"/>
      <c r="U356" s="311"/>
      <c r="V356" s="311"/>
      <c r="W356" s="311"/>
      <c r="X356" s="311"/>
      <c r="Y356" s="311"/>
      <c r="Z356" s="311"/>
      <c r="AA356" s="311"/>
      <c r="AB356" s="311"/>
      <c r="AC356" s="311">
        <f t="shared" si="23"/>
        <v>0</v>
      </c>
      <c r="AD356" s="311"/>
      <c r="AE356" s="311"/>
      <c r="AF356" s="569"/>
      <c r="AG356" s="415"/>
      <c r="AH356" s="581"/>
      <c r="AI356" s="581"/>
      <c r="AJ356" s="374">
        <f t="shared" si="22"/>
        <v>0</v>
      </c>
    </row>
    <row r="357" spans="1:36" s="410" customFormat="1" ht="14">
      <c r="A357" s="563" t="s">
        <v>221</v>
      </c>
      <c r="B357" s="564" t="s">
        <v>176</v>
      </c>
      <c r="C357" s="564"/>
      <c r="D357" s="564"/>
      <c r="E357" s="311"/>
      <c r="F357" s="366"/>
      <c r="G357" s="311"/>
      <c r="H357" s="311"/>
      <c r="I357" s="311"/>
      <c r="J357" s="311"/>
      <c r="K357" s="311"/>
      <c r="L357" s="311"/>
      <c r="M357" s="311"/>
      <c r="N357" s="367"/>
      <c r="O357" s="367"/>
      <c r="P357" s="367"/>
      <c r="Q357" s="367"/>
      <c r="R357" s="311"/>
      <c r="S357" s="311"/>
      <c r="T357" s="311"/>
      <c r="U357" s="311"/>
      <c r="V357" s="311">
        <v>1</v>
      </c>
      <c r="W357" s="311"/>
      <c r="X357" s="311"/>
      <c r="Y357" s="311"/>
      <c r="Z357" s="311"/>
      <c r="AA357" s="311"/>
      <c r="AB357" s="311"/>
      <c r="AC357" s="311">
        <f t="shared" si="23"/>
        <v>1</v>
      </c>
      <c r="AD357" s="311" t="s">
        <v>141</v>
      </c>
      <c r="AE357" s="311" t="s">
        <v>67</v>
      </c>
      <c r="AF357" s="569" t="s">
        <v>31</v>
      </c>
      <c r="AG357" s="415">
        <v>0.1</v>
      </c>
      <c r="AH357" s="581">
        <v>0.1</v>
      </c>
      <c r="AI357" s="581">
        <v>0.1</v>
      </c>
      <c r="AJ357" s="374">
        <f t="shared" si="22"/>
        <v>320867.25</v>
      </c>
    </row>
    <row r="358" spans="1:36" s="410" customFormat="1" ht="14">
      <c r="A358" s="563" t="s">
        <v>222</v>
      </c>
      <c r="B358" s="564" t="s">
        <v>177</v>
      </c>
      <c r="C358" s="564"/>
      <c r="D358" s="564"/>
      <c r="E358" s="311"/>
      <c r="F358" s="366"/>
      <c r="G358" s="311"/>
      <c r="H358" s="311"/>
      <c r="I358" s="311"/>
      <c r="J358" s="311"/>
      <c r="K358" s="311"/>
      <c r="L358" s="311"/>
      <c r="M358" s="311"/>
      <c r="N358" s="367"/>
      <c r="O358" s="367"/>
      <c r="P358" s="367"/>
      <c r="Q358" s="367"/>
      <c r="R358" s="311"/>
      <c r="S358" s="311"/>
      <c r="T358" s="311"/>
      <c r="U358" s="311"/>
      <c r="V358" s="311">
        <v>1</v>
      </c>
      <c r="W358" s="311"/>
      <c r="X358" s="311"/>
      <c r="Y358" s="311"/>
      <c r="Z358" s="311"/>
      <c r="AA358" s="311"/>
      <c r="AB358" s="311"/>
      <c r="AC358" s="311">
        <f t="shared" si="23"/>
        <v>1</v>
      </c>
      <c r="AD358" s="311" t="s">
        <v>141</v>
      </c>
      <c r="AE358" s="311" t="s">
        <v>67</v>
      </c>
      <c r="AF358" s="569" t="s">
        <v>31</v>
      </c>
      <c r="AG358" s="415">
        <v>0.15</v>
      </c>
      <c r="AH358" s="581">
        <v>0.2</v>
      </c>
      <c r="AI358" s="581">
        <v>0.2</v>
      </c>
      <c r="AJ358" s="374">
        <f t="shared" si="22"/>
        <v>320867.25</v>
      </c>
    </row>
    <row r="359" spans="1:36" s="231" customFormat="1" ht="26">
      <c r="A359" s="350" t="s">
        <v>182</v>
      </c>
      <c r="B359" s="312" t="s">
        <v>491</v>
      </c>
      <c r="C359" s="312"/>
      <c r="D359" s="312"/>
      <c r="E359" s="346"/>
      <c r="F359" s="347"/>
      <c r="G359" s="346"/>
      <c r="H359" s="346"/>
      <c r="I359" s="346"/>
      <c r="J359" s="346"/>
      <c r="K359" s="346"/>
      <c r="L359" s="346"/>
      <c r="M359" s="346"/>
      <c r="N359" s="357"/>
      <c r="O359" s="357"/>
      <c r="P359" s="357"/>
      <c r="Q359" s="357"/>
      <c r="R359" s="346"/>
      <c r="S359" s="346"/>
      <c r="T359" s="346"/>
      <c r="U359" s="346"/>
      <c r="V359" s="346"/>
      <c r="W359" s="346">
        <v>1</v>
      </c>
      <c r="X359" s="346"/>
      <c r="Y359" s="346"/>
      <c r="Z359" s="346"/>
      <c r="AA359" s="346"/>
      <c r="AB359" s="346"/>
      <c r="AC359" s="346">
        <f t="shared" si="23"/>
        <v>1</v>
      </c>
      <c r="AD359" s="346" t="s">
        <v>51</v>
      </c>
      <c r="AE359" s="346" t="s">
        <v>104</v>
      </c>
      <c r="AF359" s="350" t="s">
        <v>31</v>
      </c>
      <c r="AG359" s="369">
        <v>0.5</v>
      </c>
      <c r="AH359" s="370">
        <v>0.5</v>
      </c>
      <c r="AI359" s="370">
        <v>0.65</v>
      </c>
      <c r="AJ359" s="358">
        <f t="shared" si="22"/>
        <v>360525</v>
      </c>
    </row>
    <row r="360" spans="1:36" s="231" customFormat="1" ht="26">
      <c r="A360" s="350" t="s">
        <v>189</v>
      </c>
      <c r="B360" s="312" t="s">
        <v>667</v>
      </c>
      <c r="C360" s="312"/>
      <c r="D360" s="312"/>
      <c r="E360" s="346"/>
      <c r="F360" s="347"/>
      <c r="G360" s="346"/>
      <c r="H360" s="346"/>
      <c r="I360" s="346"/>
      <c r="J360" s="346"/>
      <c r="K360" s="346"/>
      <c r="L360" s="346"/>
      <c r="M360" s="346"/>
      <c r="N360" s="357"/>
      <c r="O360" s="357"/>
      <c r="P360" s="357"/>
      <c r="Q360" s="357"/>
      <c r="R360" s="346"/>
      <c r="S360" s="346"/>
      <c r="T360" s="346"/>
      <c r="U360" s="346"/>
      <c r="V360" s="346"/>
      <c r="W360" s="346">
        <v>1</v>
      </c>
      <c r="X360" s="346"/>
      <c r="Y360" s="346"/>
      <c r="Z360" s="346"/>
      <c r="AA360" s="346"/>
      <c r="AB360" s="346"/>
      <c r="AC360" s="346">
        <f t="shared" si="23"/>
        <v>1</v>
      </c>
      <c r="AD360" s="346" t="s">
        <v>51</v>
      </c>
      <c r="AE360" s="346" t="s">
        <v>104</v>
      </c>
      <c r="AF360" s="350" t="s">
        <v>31</v>
      </c>
      <c r="AG360" s="369">
        <v>0.47</v>
      </c>
      <c r="AH360" s="370">
        <v>0.47</v>
      </c>
      <c r="AI360" s="370">
        <v>0.61099999999999999</v>
      </c>
      <c r="AJ360" s="358">
        <f t="shared" si="22"/>
        <v>360525</v>
      </c>
    </row>
    <row r="361" spans="1:36" s="231" customFormat="1" ht="26">
      <c r="A361" s="350" t="s">
        <v>190</v>
      </c>
      <c r="B361" s="347" t="s">
        <v>184</v>
      </c>
      <c r="C361" s="347"/>
      <c r="D361" s="347"/>
      <c r="E361" s="346"/>
      <c r="F361" s="347"/>
      <c r="G361" s="346"/>
      <c r="H361" s="346"/>
      <c r="I361" s="346"/>
      <c r="J361" s="346"/>
      <c r="K361" s="346"/>
      <c r="L361" s="346"/>
      <c r="M361" s="346"/>
      <c r="N361" s="357"/>
      <c r="O361" s="357"/>
      <c r="P361" s="357"/>
      <c r="Q361" s="357"/>
      <c r="R361" s="346"/>
      <c r="S361" s="346"/>
      <c r="T361" s="346"/>
      <c r="U361" s="346"/>
      <c r="V361" s="346"/>
      <c r="W361" s="346"/>
      <c r="X361" s="346"/>
      <c r="Y361" s="346"/>
      <c r="Z361" s="346"/>
      <c r="AA361" s="346"/>
      <c r="AB361" s="346"/>
      <c r="AC361" s="346">
        <f t="shared" si="23"/>
        <v>0</v>
      </c>
      <c r="AD361" s="346"/>
      <c r="AE361" s="346"/>
      <c r="AF361" s="350"/>
      <c r="AG361" s="369"/>
      <c r="AH361" s="370"/>
      <c r="AI361" s="370"/>
      <c r="AJ361" s="358">
        <f t="shared" si="22"/>
        <v>0</v>
      </c>
    </row>
    <row r="362" spans="1:36" s="410" customFormat="1" ht="14">
      <c r="A362" s="400" t="s">
        <v>503</v>
      </c>
      <c r="B362" s="365" t="s">
        <v>185</v>
      </c>
      <c r="C362" s="365"/>
      <c r="D362" s="365"/>
      <c r="E362" s="430"/>
      <c r="F362" s="365"/>
      <c r="G362" s="430"/>
      <c r="H362" s="430"/>
      <c r="I362" s="430"/>
      <c r="J362" s="430"/>
      <c r="K362" s="430"/>
      <c r="L362" s="430"/>
      <c r="M362" s="430"/>
      <c r="N362" s="427"/>
      <c r="O362" s="427"/>
      <c r="P362" s="427"/>
      <c r="Q362" s="427"/>
      <c r="R362" s="430"/>
      <c r="S362" s="430"/>
      <c r="T362" s="430"/>
      <c r="U362" s="430">
        <v>1</v>
      </c>
      <c r="V362" s="430"/>
      <c r="W362" s="430"/>
      <c r="X362" s="430"/>
      <c r="Y362" s="430"/>
      <c r="Z362" s="430"/>
      <c r="AA362" s="430"/>
      <c r="AB362" s="430"/>
      <c r="AC362" s="430">
        <f t="shared" si="23"/>
        <v>1</v>
      </c>
      <c r="AD362" s="430" t="s">
        <v>444</v>
      </c>
      <c r="AE362" s="430" t="s">
        <v>66</v>
      </c>
      <c r="AF362" s="400" t="s">
        <v>31</v>
      </c>
      <c r="AG362" s="452">
        <v>1.6E-2</v>
      </c>
      <c r="AH362" s="453">
        <v>1.6E-2</v>
      </c>
      <c r="AI362" s="453">
        <v>1.6E-2</v>
      </c>
      <c r="AJ362" s="432">
        <f t="shared" si="22"/>
        <v>281209.5</v>
      </c>
    </row>
    <row r="363" spans="1:36" s="410" customFormat="1" ht="14">
      <c r="A363" s="400" t="s">
        <v>504</v>
      </c>
      <c r="B363" s="365" t="s">
        <v>186</v>
      </c>
      <c r="C363" s="365"/>
      <c r="D363" s="365"/>
      <c r="E363" s="430"/>
      <c r="F363" s="365"/>
      <c r="G363" s="430"/>
      <c r="H363" s="430"/>
      <c r="I363" s="430"/>
      <c r="J363" s="430"/>
      <c r="K363" s="430"/>
      <c r="L363" s="430"/>
      <c r="M363" s="430"/>
      <c r="N363" s="427"/>
      <c r="O363" s="427"/>
      <c r="P363" s="427"/>
      <c r="Q363" s="427"/>
      <c r="R363" s="430"/>
      <c r="S363" s="430"/>
      <c r="T363" s="430"/>
      <c r="U363" s="430">
        <v>1</v>
      </c>
      <c r="V363" s="430"/>
      <c r="W363" s="430"/>
      <c r="X363" s="430"/>
      <c r="Y363" s="430"/>
      <c r="Z363" s="430"/>
      <c r="AA363" s="430"/>
      <c r="AB363" s="430"/>
      <c r="AC363" s="430">
        <f t="shared" si="23"/>
        <v>1</v>
      </c>
      <c r="AD363" s="430" t="s">
        <v>444</v>
      </c>
      <c r="AE363" s="430" t="s">
        <v>66</v>
      </c>
      <c r="AF363" s="400" t="s">
        <v>31</v>
      </c>
      <c r="AG363" s="452">
        <v>8.0000000000000002E-3</v>
      </c>
      <c r="AH363" s="453">
        <v>8.0000000000000002E-3</v>
      </c>
      <c r="AI363" s="453">
        <v>8.0000000000000002E-3</v>
      </c>
      <c r="AJ363" s="432">
        <f t="shared" si="22"/>
        <v>281209.5</v>
      </c>
    </row>
    <row r="364" spans="1:36" s="231" customFormat="1" ht="39">
      <c r="A364" s="350" t="s">
        <v>205</v>
      </c>
      <c r="B364" s="347" t="s">
        <v>187</v>
      </c>
      <c r="C364" s="347"/>
      <c r="D364" s="347"/>
      <c r="E364" s="346"/>
      <c r="F364" s="347"/>
      <c r="G364" s="346"/>
      <c r="H364" s="346"/>
      <c r="I364" s="346"/>
      <c r="J364" s="346"/>
      <c r="K364" s="346"/>
      <c r="L364" s="346"/>
      <c r="M364" s="346"/>
      <c r="N364" s="357"/>
      <c r="O364" s="357"/>
      <c r="P364" s="357"/>
      <c r="Q364" s="357"/>
      <c r="R364" s="346"/>
      <c r="S364" s="346"/>
      <c r="T364" s="346"/>
      <c r="U364" s="346">
        <v>1</v>
      </c>
      <c r="V364" s="346"/>
      <c r="W364" s="346"/>
      <c r="X364" s="346"/>
      <c r="Y364" s="346"/>
      <c r="Z364" s="346"/>
      <c r="AA364" s="346"/>
      <c r="AB364" s="346"/>
      <c r="AC364" s="346">
        <f t="shared" si="23"/>
        <v>1</v>
      </c>
      <c r="AD364" s="346" t="s">
        <v>444</v>
      </c>
      <c r="AE364" s="346" t="s">
        <v>66</v>
      </c>
      <c r="AF364" s="350" t="s">
        <v>31</v>
      </c>
      <c r="AG364" s="369">
        <v>4.0000000000000001E-3</v>
      </c>
      <c r="AH364" s="370">
        <v>4.0000000000000001E-3</v>
      </c>
      <c r="AI364" s="370">
        <v>4.0000000000000001E-3</v>
      </c>
      <c r="AJ364" s="358">
        <f t="shared" si="22"/>
        <v>281209.5</v>
      </c>
    </row>
    <row r="365" spans="1:36" s="231" customFormat="1" ht="26">
      <c r="A365" s="350" t="s">
        <v>264</v>
      </c>
      <c r="B365" s="347" t="s">
        <v>188</v>
      </c>
      <c r="C365" s="347"/>
      <c r="D365" s="347"/>
      <c r="E365" s="346"/>
      <c r="F365" s="347"/>
      <c r="G365" s="346"/>
      <c r="H365" s="346"/>
      <c r="I365" s="346"/>
      <c r="J365" s="346"/>
      <c r="K365" s="346"/>
      <c r="L365" s="346"/>
      <c r="M365" s="346"/>
      <c r="N365" s="357"/>
      <c r="O365" s="357"/>
      <c r="P365" s="357"/>
      <c r="Q365" s="357"/>
      <c r="R365" s="346"/>
      <c r="S365" s="346"/>
      <c r="T365" s="346"/>
      <c r="U365" s="346">
        <v>1</v>
      </c>
      <c r="V365" s="346"/>
      <c r="W365" s="346"/>
      <c r="X365" s="346"/>
      <c r="Y365" s="346"/>
      <c r="Z365" s="346"/>
      <c r="AA365" s="346"/>
      <c r="AB365" s="346"/>
      <c r="AC365" s="346">
        <f t="shared" si="23"/>
        <v>1</v>
      </c>
      <c r="AD365" s="346" t="s">
        <v>1</v>
      </c>
      <c r="AE365" s="346" t="s">
        <v>66</v>
      </c>
      <c r="AF365" s="350" t="s">
        <v>31</v>
      </c>
      <c r="AG365" s="369">
        <v>0.01</v>
      </c>
      <c r="AH365" s="370">
        <v>0.01</v>
      </c>
      <c r="AI365" s="370">
        <v>0.01</v>
      </c>
      <c r="AJ365" s="358">
        <f t="shared" si="22"/>
        <v>281209.5</v>
      </c>
    </row>
    <row r="366" spans="1:36" s="231" customFormat="1" ht="65">
      <c r="A366" s="350" t="s">
        <v>266</v>
      </c>
      <c r="B366" s="347" t="s">
        <v>492</v>
      </c>
      <c r="C366" s="347"/>
      <c r="D366" s="347"/>
      <c r="E366" s="346"/>
      <c r="F366" s="347"/>
      <c r="G366" s="346"/>
      <c r="H366" s="346"/>
      <c r="I366" s="346"/>
      <c r="J366" s="346"/>
      <c r="K366" s="346"/>
      <c r="L366" s="346"/>
      <c r="M366" s="346"/>
      <c r="N366" s="357"/>
      <c r="O366" s="357"/>
      <c r="P366" s="357"/>
      <c r="Q366" s="357"/>
      <c r="R366" s="346"/>
      <c r="S366" s="346"/>
      <c r="T366" s="346"/>
      <c r="U366" s="346"/>
      <c r="V366" s="346">
        <v>1</v>
      </c>
      <c r="W366" s="346"/>
      <c r="X366" s="346"/>
      <c r="Y366" s="346"/>
      <c r="Z366" s="346"/>
      <c r="AA366" s="346"/>
      <c r="AB366" s="346"/>
      <c r="AC366" s="346">
        <f t="shared" si="23"/>
        <v>1</v>
      </c>
      <c r="AD366" s="346" t="s">
        <v>51</v>
      </c>
      <c r="AE366" s="346" t="s">
        <v>67</v>
      </c>
      <c r="AF366" s="350" t="s">
        <v>31</v>
      </c>
      <c r="AG366" s="369">
        <v>0.05</v>
      </c>
      <c r="AH366" s="370">
        <v>0.05</v>
      </c>
      <c r="AI366" s="370">
        <v>6.5000000000000002E-2</v>
      </c>
      <c r="AJ366" s="358">
        <f t="shared" si="22"/>
        <v>320867.25</v>
      </c>
    </row>
    <row r="367" spans="1:36" s="231" customFormat="1" ht="78">
      <c r="A367" s="350" t="s">
        <v>268</v>
      </c>
      <c r="B367" s="347" t="s">
        <v>555</v>
      </c>
      <c r="C367" s="347"/>
      <c r="D367" s="347"/>
      <c r="E367" s="346"/>
      <c r="F367" s="347"/>
      <c r="G367" s="346"/>
      <c r="H367" s="346"/>
      <c r="I367" s="346"/>
      <c r="J367" s="346"/>
      <c r="K367" s="346"/>
      <c r="L367" s="346"/>
      <c r="M367" s="346"/>
      <c r="N367" s="357"/>
      <c r="O367" s="357"/>
      <c r="P367" s="357"/>
      <c r="Q367" s="357"/>
      <c r="R367" s="346"/>
      <c r="S367" s="346"/>
      <c r="T367" s="346"/>
      <c r="U367" s="346"/>
      <c r="V367" s="346">
        <v>1</v>
      </c>
      <c r="W367" s="346"/>
      <c r="X367" s="346"/>
      <c r="Y367" s="346"/>
      <c r="Z367" s="346"/>
      <c r="AA367" s="346"/>
      <c r="AB367" s="346"/>
      <c r="AC367" s="346">
        <f t="shared" si="23"/>
        <v>1</v>
      </c>
      <c r="AD367" s="346" t="s">
        <v>51</v>
      </c>
      <c r="AE367" s="346" t="s">
        <v>67</v>
      </c>
      <c r="AF367" s="350" t="s">
        <v>31</v>
      </c>
      <c r="AG367" s="369">
        <v>0.05</v>
      </c>
      <c r="AH367" s="370">
        <v>0.05</v>
      </c>
      <c r="AI367" s="370">
        <v>6.5000000000000002E-2</v>
      </c>
      <c r="AJ367" s="358">
        <f t="shared" si="22"/>
        <v>320867.25</v>
      </c>
    </row>
    <row r="368" spans="1:36" ht="22.15" customHeight="1">
      <c r="A368" s="341" t="s">
        <v>559</v>
      </c>
      <c r="B368" s="894" t="s">
        <v>856</v>
      </c>
      <c r="C368" s="894"/>
      <c r="D368" s="894"/>
      <c r="E368" s="894"/>
      <c r="F368" s="894"/>
      <c r="G368" s="894"/>
      <c r="H368" s="894"/>
      <c r="I368" s="894"/>
      <c r="J368" s="894"/>
      <c r="K368" s="894"/>
      <c r="L368" s="894"/>
      <c r="M368" s="894"/>
      <c r="N368" s="894"/>
      <c r="O368" s="894"/>
      <c r="P368" s="894"/>
      <c r="Q368" s="894"/>
      <c r="R368" s="894"/>
      <c r="S368" s="894"/>
      <c r="T368" s="894"/>
      <c r="U368" s="894"/>
      <c r="V368" s="894"/>
      <c r="W368" s="894"/>
      <c r="X368" s="894"/>
      <c r="Y368" s="894"/>
      <c r="Z368" s="894"/>
      <c r="AA368" s="894"/>
      <c r="AB368" s="894"/>
      <c r="AC368" s="894"/>
      <c r="AD368" s="894"/>
      <c r="AE368" s="894"/>
      <c r="AF368" s="894"/>
      <c r="AG368" s="894"/>
      <c r="AH368" s="75"/>
      <c r="AI368" s="233"/>
      <c r="AJ368" s="75">
        <f t="shared" si="22"/>
        <v>0</v>
      </c>
    </row>
    <row r="369" spans="1:36" ht="26">
      <c r="A369" s="224" t="s">
        <v>32</v>
      </c>
      <c r="B369" s="227" t="s">
        <v>870</v>
      </c>
      <c r="C369" s="227"/>
      <c r="D369" s="227"/>
      <c r="E369" s="226"/>
      <c r="F369" s="227"/>
      <c r="G369" s="226"/>
      <c r="H369" s="226"/>
      <c r="I369" s="226"/>
      <c r="J369" s="226"/>
      <c r="K369" s="226"/>
      <c r="L369" s="226"/>
      <c r="M369" s="226"/>
      <c r="N369" s="363"/>
      <c r="O369" s="363"/>
      <c r="P369" s="363"/>
      <c r="Q369" s="363"/>
      <c r="R369" s="226"/>
      <c r="S369" s="226"/>
      <c r="T369" s="226"/>
      <c r="U369" s="226"/>
      <c r="V369" s="226">
        <v>1</v>
      </c>
      <c r="W369" s="226"/>
      <c r="X369" s="226"/>
      <c r="Y369" s="226"/>
      <c r="Z369" s="226"/>
      <c r="AA369" s="226"/>
      <c r="AB369" s="226"/>
      <c r="AC369" s="226">
        <f>SUM(E369:AB369)</f>
        <v>1</v>
      </c>
      <c r="AD369" s="226" t="s">
        <v>51</v>
      </c>
      <c r="AE369" s="226" t="s">
        <v>67</v>
      </c>
      <c r="AF369" s="342" t="s">
        <v>31</v>
      </c>
      <c r="AG369" s="371">
        <v>0.02</v>
      </c>
      <c r="AH369" s="372">
        <v>0.02</v>
      </c>
      <c r="AI369" s="372">
        <v>2.5999999999999999E-2</v>
      </c>
      <c r="AJ369" s="364">
        <f t="shared" si="22"/>
        <v>320867.25</v>
      </c>
    </row>
    <row r="370" spans="1:36" ht="22.15" customHeight="1">
      <c r="A370" s="65" t="s">
        <v>560</v>
      </c>
      <c r="B370" s="286" t="s">
        <v>246</v>
      </c>
      <c r="C370" s="287"/>
      <c r="D370" s="287"/>
      <c r="E370" s="287"/>
      <c r="F370" s="287"/>
      <c r="G370" s="287"/>
      <c r="H370" s="287"/>
      <c r="I370" s="287"/>
      <c r="J370" s="287"/>
      <c r="K370" s="287"/>
      <c r="L370" s="287"/>
      <c r="M370" s="287"/>
      <c r="N370" s="287"/>
      <c r="O370" s="287"/>
      <c r="P370" s="287"/>
      <c r="Q370" s="287"/>
      <c r="R370" s="287"/>
      <c r="S370" s="287"/>
      <c r="T370" s="287"/>
      <c r="U370" s="287"/>
      <c r="V370" s="287"/>
      <c r="W370" s="287"/>
      <c r="X370" s="287"/>
      <c r="Y370" s="287"/>
      <c r="Z370" s="287"/>
      <c r="AA370" s="287"/>
      <c r="AB370" s="287"/>
      <c r="AC370" s="287"/>
      <c r="AD370" s="287"/>
      <c r="AE370" s="287"/>
      <c r="AF370" s="287"/>
      <c r="AG370" s="287"/>
      <c r="AH370" s="290"/>
      <c r="AI370" s="59"/>
      <c r="AJ370" s="181"/>
    </row>
    <row r="371" spans="1:36" ht="31.9" customHeight="1">
      <c r="A371" s="47" t="s">
        <v>32</v>
      </c>
      <c r="B371" s="876" t="s">
        <v>682</v>
      </c>
      <c r="C371" s="877"/>
      <c r="D371" s="877"/>
      <c r="E371" s="877"/>
      <c r="F371" s="877"/>
      <c r="G371" s="877"/>
      <c r="H371" s="877"/>
      <c r="I371" s="877"/>
      <c r="J371" s="877"/>
      <c r="K371" s="877"/>
      <c r="L371" s="877"/>
      <c r="M371" s="877"/>
      <c r="N371" s="877"/>
      <c r="O371" s="877"/>
      <c r="P371" s="877"/>
      <c r="Q371" s="877"/>
      <c r="R371" s="877"/>
      <c r="S371" s="877"/>
      <c r="T371" s="877"/>
      <c r="U371" s="877"/>
      <c r="V371" s="877"/>
      <c r="W371" s="877"/>
      <c r="X371" s="877"/>
      <c r="Y371" s="877"/>
      <c r="Z371" s="877"/>
      <c r="AA371" s="877"/>
      <c r="AB371" s="877"/>
      <c r="AC371" s="877"/>
      <c r="AD371" s="877"/>
      <c r="AE371" s="877"/>
      <c r="AF371" s="878"/>
      <c r="AG371" s="44"/>
      <c r="AH371" s="58"/>
      <c r="AI371" s="58"/>
      <c r="AJ371" s="67"/>
    </row>
    <row r="372" spans="1:36" ht="31.9" customHeight="1">
      <c r="A372" s="47" t="s">
        <v>33</v>
      </c>
      <c r="B372" s="876" t="s">
        <v>874</v>
      </c>
      <c r="C372" s="877"/>
      <c r="D372" s="877"/>
      <c r="E372" s="877"/>
      <c r="F372" s="877"/>
      <c r="G372" s="877"/>
      <c r="H372" s="877"/>
      <c r="I372" s="877"/>
      <c r="J372" s="877"/>
      <c r="K372" s="877"/>
      <c r="L372" s="877"/>
      <c r="M372" s="877"/>
      <c r="N372" s="877"/>
      <c r="O372" s="877"/>
      <c r="P372" s="877"/>
      <c r="Q372" s="877"/>
      <c r="R372" s="877"/>
      <c r="S372" s="877"/>
      <c r="T372" s="877"/>
      <c r="U372" s="877"/>
      <c r="V372" s="877"/>
      <c r="W372" s="877"/>
      <c r="X372" s="877"/>
      <c r="Y372" s="877"/>
      <c r="Z372" s="877"/>
      <c r="AA372" s="877"/>
      <c r="AB372" s="877"/>
      <c r="AC372" s="877"/>
      <c r="AD372" s="877"/>
      <c r="AE372" s="877"/>
      <c r="AF372" s="878"/>
      <c r="AG372" s="45"/>
      <c r="AH372" s="72"/>
      <c r="AI372" s="72"/>
      <c r="AJ372" s="67"/>
    </row>
    <row r="373" spans="1:36" ht="28.5" customHeight="1">
      <c r="A373" s="602" t="s">
        <v>230</v>
      </c>
      <c r="B373" s="926" t="s">
        <v>689</v>
      </c>
      <c r="C373" s="926"/>
      <c r="D373" s="926"/>
      <c r="E373" s="926"/>
      <c r="F373" s="926"/>
      <c r="G373" s="926"/>
      <c r="H373" s="926"/>
      <c r="I373" s="926"/>
      <c r="J373" s="926"/>
      <c r="K373" s="926"/>
      <c r="L373" s="926"/>
      <c r="M373" s="926"/>
      <c r="N373" s="926"/>
      <c r="O373" s="926"/>
      <c r="P373" s="926"/>
      <c r="Q373" s="926"/>
      <c r="R373" s="926"/>
      <c r="S373" s="926"/>
      <c r="T373" s="926"/>
      <c r="U373" s="926"/>
      <c r="V373" s="926"/>
      <c r="W373" s="926"/>
      <c r="X373" s="926"/>
      <c r="Y373" s="926"/>
      <c r="Z373" s="926"/>
      <c r="AA373" s="926"/>
      <c r="AB373" s="926"/>
      <c r="AC373" s="926"/>
      <c r="AD373" s="926"/>
      <c r="AE373" s="926"/>
      <c r="AF373" s="926"/>
      <c r="AG373" s="359"/>
      <c r="AH373" s="359"/>
      <c r="AI373" s="359"/>
      <c r="AJ373" s="340" t="s">
        <v>306</v>
      </c>
    </row>
    <row r="374" spans="1:36" ht="22.15" customHeight="1">
      <c r="A374" s="341" t="s">
        <v>231</v>
      </c>
      <c r="B374" s="894" t="s">
        <v>856</v>
      </c>
      <c r="C374" s="894"/>
      <c r="D374" s="894"/>
      <c r="E374" s="894"/>
      <c r="F374" s="894"/>
      <c r="G374" s="894"/>
      <c r="H374" s="894"/>
      <c r="I374" s="894"/>
      <c r="J374" s="894"/>
      <c r="K374" s="894"/>
      <c r="L374" s="894"/>
      <c r="M374" s="894"/>
      <c r="N374" s="894"/>
      <c r="O374" s="894"/>
      <c r="P374" s="894"/>
      <c r="Q374" s="894"/>
      <c r="R374" s="894"/>
      <c r="S374" s="894"/>
      <c r="T374" s="894"/>
      <c r="U374" s="894"/>
      <c r="V374" s="894"/>
      <c r="W374" s="894"/>
      <c r="X374" s="894"/>
      <c r="Y374" s="894"/>
      <c r="Z374" s="894"/>
      <c r="AA374" s="894"/>
      <c r="AB374" s="894"/>
      <c r="AC374" s="894"/>
      <c r="AD374" s="894"/>
      <c r="AE374" s="894"/>
      <c r="AF374" s="894"/>
      <c r="AG374" s="233" t="s">
        <v>209</v>
      </c>
      <c r="AH374" s="233" t="s">
        <v>210</v>
      </c>
      <c r="AI374" s="233" t="s">
        <v>211</v>
      </c>
      <c r="AJ374" s="75"/>
    </row>
    <row r="375" spans="1:36" s="231" customFormat="1" ht="14">
      <c r="A375" s="350" t="s">
        <v>32</v>
      </c>
      <c r="B375" s="347" t="s">
        <v>228</v>
      </c>
      <c r="C375" s="347"/>
      <c r="D375" s="347"/>
      <c r="E375" s="346"/>
      <c r="F375" s="347"/>
      <c r="G375" s="346"/>
      <c r="H375" s="346"/>
      <c r="I375" s="346"/>
      <c r="J375" s="346"/>
      <c r="K375" s="346"/>
      <c r="L375" s="346"/>
      <c r="M375" s="346"/>
      <c r="N375" s="357"/>
      <c r="O375" s="357"/>
      <c r="P375" s="357"/>
      <c r="Q375" s="357"/>
      <c r="R375" s="346"/>
      <c r="S375" s="346"/>
      <c r="T375" s="346"/>
      <c r="U375" s="346"/>
      <c r="V375" s="346"/>
      <c r="W375" s="346"/>
      <c r="X375" s="346"/>
      <c r="Y375" s="346"/>
      <c r="Z375" s="346"/>
      <c r="AA375" s="346"/>
      <c r="AB375" s="346"/>
      <c r="AC375" s="346">
        <f t="shared" ref="AC375:AC421" si="24">SUM(E375:AB375)</f>
        <v>0</v>
      </c>
      <c r="AD375" s="346"/>
      <c r="AE375" s="346"/>
      <c r="AF375" s="350"/>
      <c r="AG375" s="346"/>
      <c r="AH375" s="358"/>
      <c r="AI375" s="347"/>
      <c r="AJ375" s="358">
        <f t="shared" si="22"/>
        <v>0</v>
      </c>
    </row>
    <row r="376" spans="1:36" s="410" customFormat="1" ht="14">
      <c r="A376" s="400" t="s">
        <v>132</v>
      </c>
      <c r="B376" s="365" t="s">
        <v>149</v>
      </c>
      <c r="C376" s="365"/>
      <c r="D376" s="365"/>
      <c r="E376" s="346"/>
      <c r="F376" s="347"/>
      <c r="G376" s="346"/>
      <c r="H376" s="346"/>
      <c r="I376" s="346"/>
      <c r="J376" s="346"/>
      <c r="K376" s="346"/>
      <c r="L376" s="346"/>
      <c r="M376" s="346"/>
      <c r="N376" s="357"/>
      <c r="O376" s="357"/>
      <c r="P376" s="357"/>
      <c r="Q376" s="357"/>
      <c r="R376" s="346"/>
      <c r="S376" s="346"/>
      <c r="T376" s="346"/>
      <c r="U376" s="346"/>
      <c r="V376" s="346">
        <v>1</v>
      </c>
      <c r="W376" s="346"/>
      <c r="X376" s="346"/>
      <c r="Y376" s="346"/>
      <c r="Z376" s="346"/>
      <c r="AA376" s="346"/>
      <c r="AB376" s="346"/>
      <c r="AC376" s="346">
        <f t="shared" si="24"/>
        <v>1</v>
      </c>
      <c r="AD376" s="346" t="s">
        <v>51</v>
      </c>
      <c r="AE376" s="346" t="s">
        <v>67</v>
      </c>
      <c r="AF376" s="350" t="s">
        <v>31</v>
      </c>
      <c r="AG376" s="369">
        <v>0.2</v>
      </c>
      <c r="AH376" s="370">
        <v>0.2</v>
      </c>
      <c r="AI376" s="370">
        <v>0.26</v>
      </c>
      <c r="AJ376" s="358">
        <f t="shared" si="22"/>
        <v>320867.25</v>
      </c>
    </row>
    <row r="377" spans="1:36" s="410" customFormat="1" ht="14">
      <c r="A377" s="563" t="s">
        <v>133</v>
      </c>
      <c r="B377" s="564" t="s">
        <v>151</v>
      </c>
      <c r="C377" s="564"/>
      <c r="D377" s="564"/>
      <c r="E377" s="311"/>
      <c r="F377" s="366"/>
      <c r="G377" s="311"/>
      <c r="H377" s="311"/>
      <c r="I377" s="311"/>
      <c r="J377" s="311"/>
      <c r="K377" s="311"/>
      <c r="L377" s="311"/>
      <c r="M377" s="311"/>
      <c r="N377" s="367"/>
      <c r="O377" s="367"/>
      <c r="P377" s="367"/>
      <c r="Q377" s="367"/>
      <c r="R377" s="311"/>
      <c r="S377" s="311"/>
      <c r="T377" s="311"/>
      <c r="U377" s="311"/>
      <c r="V377" s="311">
        <v>1</v>
      </c>
      <c r="W377" s="311"/>
      <c r="X377" s="311"/>
      <c r="Y377" s="311"/>
      <c r="Z377" s="311"/>
      <c r="AA377" s="311"/>
      <c r="AB377" s="311"/>
      <c r="AC377" s="311">
        <f t="shared" si="24"/>
        <v>1</v>
      </c>
      <c r="AD377" s="311" t="s">
        <v>51</v>
      </c>
      <c r="AE377" s="311" t="s">
        <v>67</v>
      </c>
      <c r="AF377" s="569" t="s">
        <v>31</v>
      </c>
      <c r="AG377" s="415">
        <v>0.15</v>
      </c>
      <c r="AH377" s="581">
        <v>0.15</v>
      </c>
      <c r="AI377" s="581">
        <v>0.19500000000000001</v>
      </c>
      <c r="AJ377" s="374">
        <f t="shared" ref="AJ377:AJ421" si="25">(E377*E$6+F377*F$6+G377*G$6+H377*H$6+I377*I$6+J377*J$6+K377*K$6+L377*L$6+M377*M$6+N377*N$6+O377*O$6+P377*P$6+Q377*Q$6+R377*R$6+S377*S$6+T377*T$6+U377*U$6+V377*V$6+W377*W$6+X377*X$6+Y377*Y$6+Z377*Z$6+AA377*AA$6+AB377*AB$6)</f>
        <v>320867.25</v>
      </c>
    </row>
    <row r="378" spans="1:36" s="231" customFormat="1" ht="52">
      <c r="A378" s="350" t="s">
        <v>33</v>
      </c>
      <c r="B378" s="347" t="s">
        <v>573</v>
      </c>
      <c r="C378" s="347"/>
      <c r="D378" s="347"/>
      <c r="E378" s="346"/>
      <c r="F378" s="347"/>
      <c r="G378" s="346"/>
      <c r="H378" s="346"/>
      <c r="I378" s="346"/>
      <c r="J378" s="346"/>
      <c r="K378" s="346"/>
      <c r="L378" s="346"/>
      <c r="M378" s="346"/>
      <c r="N378" s="357"/>
      <c r="O378" s="357"/>
      <c r="P378" s="357"/>
      <c r="Q378" s="357"/>
      <c r="R378" s="346"/>
      <c r="S378" s="346"/>
      <c r="T378" s="346"/>
      <c r="U378" s="346"/>
      <c r="V378" s="346">
        <v>1</v>
      </c>
      <c r="W378" s="346"/>
      <c r="X378" s="346"/>
      <c r="Y378" s="346"/>
      <c r="Z378" s="346"/>
      <c r="AA378" s="346"/>
      <c r="AB378" s="346"/>
      <c r="AC378" s="346">
        <f t="shared" si="24"/>
        <v>1</v>
      </c>
      <c r="AD378" s="346" t="s">
        <v>51</v>
      </c>
      <c r="AE378" s="346" t="s">
        <v>67</v>
      </c>
      <c r="AF378" s="350" t="s">
        <v>31</v>
      </c>
      <c r="AG378" s="369">
        <v>0.25</v>
      </c>
      <c r="AH378" s="370">
        <v>0.25</v>
      </c>
      <c r="AI378" s="370">
        <v>0.32500000000000001</v>
      </c>
      <c r="AJ378" s="358">
        <f t="shared" si="25"/>
        <v>320867.25</v>
      </c>
    </row>
    <row r="379" spans="1:36" s="231" customFormat="1" ht="26">
      <c r="A379" s="350" t="s">
        <v>34</v>
      </c>
      <c r="B379" s="347" t="s">
        <v>153</v>
      </c>
      <c r="C379" s="347"/>
      <c r="D379" s="347"/>
      <c r="E379" s="346"/>
      <c r="F379" s="347"/>
      <c r="G379" s="346"/>
      <c r="H379" s="346"/>
      <c r="I379" s="346"/>
      <c r="J379" s="346"/>
      <c r="K379" s="346"/>
      <c r="L379" s="346"/>
      <c r="M379" s="346"/>
      <c r="N379" s="357"/>
      <c r="O379" s="357"/>
      <c r="P379" s="357"/>
      <c r="Q379" s="357"/>
      <c r="R379" s="346"/>
      <c r="S379" s="346"/>
      <c r="T379" s="346"/>
      <c r="U379" s="346"/>
      <c r="V379" s="346"/>
      <c r="W379" s="346">
        <v>1</v>
      </c>
      <c r="X379" s="346"/>
      <c r="Y379" s="346"/>
      <c r="Z379" s="346"/>
      <c r="AA379" s="346"/>
      <c r="AB379" s="346"/>
      <c r="AC379" s="346">
        <f t="shared" si="24"/>
        <v>1</v>
      </c>
      <c r="AD379" s="346" t="s">
        <v>1</v>
      </c>
      <c r="AE379" s="346" t="s">
        <v>104</v>
      </c>
      <c r="AF379" s="350" t="s">
        <v>31</v>
      </c>
      <c r="AG379" s="369">
        <v>0.107</v>
      </c>
      <c r="AH379" s="370">
        <v>3.3000000000000002E-2</v>
      </c>
      <c r="AI379" s="370">
        <v>0.16700000000000001</v>
      </c>
      <c r="AJ379" s="358">
        <f t="shared" si="25"/>
        <v>360525</v>
      </c>
    </row>
    <row r="380" spans="1:36" s="231" customFormat="1" ht="26">
      <c r="A380" s="350" t="s">
        <v>154</v>
      </c>
      <c r="B380" s="347" t="s">
        <v>184</v>
      </c>
      <c r="C380" s="347"/>
      <c r="D380" s="347"/>
      <c r="E380" s="346"/>
      <c r="F380" s="347"/>
      <c r="G380" s="346"/>
      <c r="H380" s="346"/>
      <c r="I380" s="346"/>
      <c r="J380" s="346"/>
      <c r="K380" s="346"/>
      <c r="L380" s="346"/>
      <c r="M380" s="346"/>
      <c r="N380" s="357"/>
      <c r="O380" s="357"/>
      <c r="P380" s="357"/>
      <c r="Q380" s="357"/>
      <c r="R380" s="346"/>
      <c r="S380" s="346"/>
      <c r="T380" s="346"/>
      <c r="U380" s="346"/>
      <c r="V380" s="346"/>
      <c r="W380" s="346"/>
      <c r="X380" s="346"/>
      <c r="Y380" s="346"/>
      <c r="Z380" s="346"/>
      <c r="AA380" s="346"/>
      <c r="AB380" s="346"/>
      <c r="AC380" s="346">
        <f>SUM(E380:AB380)</f>
        <v>0</v>
      </c>
      <c r="AD380" s="346"/>
      <c r="AE380" s="346"/>
      <c r="AF380" s="350"/>
      <c r="AG380" s="369"/>
      <c r="AH380" s="370"/>
      <c r="AI380" s="370"/>
      <c r="AJ380" s="358">
        <f>(E380*E$6+F380*F$6+G380*G$6+H380*H$6+I380*I$6+J380*J$6+K380*K$6+L380*L$6+M380*M$6+N380*N$6+O380*O$6+P380*P$6+Q380*Q$6+R380*R$6+S380*S$6+T380*T$6+U380*U$6+V380*V$6+W380*W$6+X380*X$6+Y380*Y$6+Z380*Z$6+AA380*AA$6+AB380*AB$6)</f>
        <v>0</v>
      </c>
    </row>
    <row r="381" spans="1:36" s="231" customFormat="1" ht="14">
      <c r="A381" s="350" t="s">
        <v>213</v>
      </c>
      <c r="B381" s="347" t="s">
        <v>185</v>
      </c>
      <c r="C381" s="347"/>
      <c r="D381" s="347"/>
      <c r="E381" s="346"/>
      <c r="F381" s="347"/>
      <c r="G381" s="346"/>
      <c r="H381" s="346"/>
      <c r="I381" s="346"/>
      <c r="J381" s="346"/>
      <c r="K381" s="346"/>
      <c r="L381" s="346"/>
      <c r="M381" s="346"/>
      <c r="N381" s="357"/>
      <c r="O381" s="357"/>
      <c r="P381" s="357"/>
      <c r="Q381" s="357"/>
      <c r="R381" s="346"/>
      <c r="S381" s="346"/>
      <c r="T381" s="346"/>
      <c r="U381" s="346">
        <v>1</v>
      </c>
      <c r="V381" s="346"/>
      <c r="W381" s="346"/>
      <c r="X381" s="346"/>
      <c r="Y381" s="346"/>
      <c r="Z381" s="346"/>
      <c r="AA381" s="346"/>
      <c r="AB381" s="346"/>
      <c r="AC381" s="346">
        <f>SUM(E381:AB381)</f>
        <v>1</v>
      </c>
      <c r="AD381" s="346" t="s">
        <v>444</v>
      </c>
      <c r="AE381" s="346" t="s">
        <v>66</v>
      </c>
      <c r="AF381" s="350" t="s">
        <v>31</v>
      </c>
      <c r="AG381" s="369">
        <v>1.6E-2</v>
      </c>
      <c r="AH381" s="370">
        <v>0.02</v>
      </c>
      <c r="AI381" s="370">
        <v>2.4E-2</v>
      </c>
      <c r="AJ381" s="358">
        <f>(E381*E$6+F381*F$6+G381*G$6+H381*H$6+I381*I$6+J381*J$6+K381*K$6+L381*L$6+M381*M$6+N381*N$6+O381*O$6+P381*P$6+Q381*Q$6+R381*R$6+S381*S$6+T381*T$6+U381*U$6+V381*V$6+W381*W$6+X381*X$6+Y381*Y$6+Z381*Z$6+AA381*AA$6+AB381*AB$6)</f>
        <v>281209.5</v>
      </c>
    </row>
    <row r="382" spans="1:36" s="231" customFormat="1" ht="14">
      <c r="A382" s="350" t="s">
        <v>214</v>
      </c>
      <c r="B382" s="347" t="s">
        <v>186</v>
      </c>
      <c r="C382" s="347"/>
      <c r="D382" s="347"/>
      <c r="E382" s="346"/>
      <c r="F382" s="347"/>
      <c r="G382" s="346"/>
      <c r="H382" s="346"/>
      <c r="I382" s="346"/>
      <c r="J382" s="346"/>
      <c r="K382" s="346"/>
      <c r="L382" s="346"/>
      <c r="M382" s="346"/>
      <c r="N382" s="357"/>
      <c r="O382" s="357"/>
      <c r="P382" s="357"/>
      <c r="Q382" s="357"/>
      <c r="R382" s="346"/>
      <c r="S382" s="346"/>
      <c r="T382" s="346"/>
      <c r="U382" s="346">
        <v>1</v>
      </c>
      <c r="V382" s="346"/>
      <c r="W382" s="346"/>
      <c r="X382" s="346"/>
      <c r="Y382" s="346"/>
      <c r="Z382" s="346"/>
      <c r="AA382" s="346"/>
      <c r="AB382" s="346"/>
      <c r="AC382" s="346">
        <f>SUM(E382:AB382)</f>
        <v>1</v>
      </c>
      <c r="AD382" s="346" t="s">
        <v>444</v>
      </c>
      <c r="AE382" s="346" t="s">
        <v>66</v>
      </c>
      <c r="AF382" s="350" t="s">
        <v>31</v>
      </c>
      <c r="AG382" s="369">
        <v>8.0000000000000002E-3</v>
      </c>
      <c r="AH382" s="370">
        <v>0.01</v>
      </c>
      <c r="AI382" s="370">
        <v>1.2E-2</v>
      </c>
      <c r="AJ382" s="358">
        <f>(E382*E$6+F382*F$6+G382*G$6+H382*H$6+I382*I$6+J382*J$6+K382*K$6+L382*L$6+M382*M$6+N382*N$6+O382*O$6+P382*P$6+Q382*Q$6+R382*R$6+S382*S$6+T382*T$6+U382*U$6+V382*V$6+W382*W$6+X382*X$6+Y382*Y$6+Z382*Z$6+AA382*AA$6+AB382*AB$6)</f>
        <v>281209.5</v>
      </c>
    </row>
    <row r="383" spans="1:36" s="231" customFormat="1" ht="39">
      <c r="A383" s="350" t="s">
        <v>155</v>
      </c>
      <c r="B383" s="347" t="s">
        <v>187</v>
      </c>
      <c r="C383" s="347"/>
      <c r="D383" s="347"/>
      <c r="E383" s="346"/>
      <c r="F383" s="347"/>
      <c r="G383" s="346"/>
      <c r="H383" s="346"/>
      <c r="I383" s="346"/>
      <c r="J383" s="346"/>
      <c r="K383" s="346"/>
      <c r="L383" s="346"/>
      <c r="M383" s="346"/>
      <c r="N383" s="357"/>
      <c r="O383" s="357"/>
      <c r="P383" s="357"/>
      <c r="Q383" s="357"/>
      <c r="R383" s="346"/>
      <c r="S383" s="346"/>
      <c r="T383" s="346"/>
      <c r="U383" s="346">
        <v>1</v>
      </c>
      <c r="V383" s="346"/>
      <c r="W383" s="346"/>
      <c r="X383" s="346"/>
      <c r="Y383" s="346"/>
      <c r="Z383" s="346"/>
      <c r="AA383" s="346"/>
      <c r="AB383" s="346"/>
      <c r="AC383" s="346">
        <f>SUM(E383:AB383)</f>
        <v>1</v>
      </c>
      <c r="AD383" s="346" t="s">
        <v>444</v>
      </c>
      <c r="AE383" s="346" t="s">
        <v>66</v>
      </c>
      <c r="AF383" s="350" t="s">
        <v>31</v>
      </c>
      <c r="AG383" s="369">
        <v>4.0000000000000001E-3</v>
      </c>
      <c r="AH383" s="370">
        <v>5.0000000000000001E-3</v>
      </c>
      <c r="AI383" s="370">
        <v>6.0000000000000001E-3</v>
      </c>
      <c r="AJ383" s="358">
        <f>(E383*E$6+F383*F$6+G383*G$6+H383*H$6+I383*I$6+J383*J$6+K383*K$6+L383*L$6+M383*M$6+N383*N$6+O383*O$6+P383*P$6+Q383*Q$6+R383*R$6+S383*S$6+T383*T$6+U383*U$6+V383*V$6+W383*W$6+X383*X$6+Y383*Y$6+Z383*Z$6+AA383*AA$6+AB383*AB$6)</f>
        <v>281209.5</v>
      </c>
    </row>
    <row r="384" spans="1:36" s="231" customFormat="1" ht="14">
      <c r="A384" s="311">
        <v>6</v>
      </c>
      <c r="B384" s="312" t="s">
        <v>467</v>
      </c>
      <c r="C384" s="312"/>
      <c r="D384" s="312"/>
      <c r="E384" s="346"/>
      <c r="F384" s="347"/>
      <c r="G384" s="346"/>
      <c r="H384" s="346"/>
      <c r="I384" s="346"/>
      <c r="J384" s="346"/>
      <c r="K384" s="346"/>
      <c r="L384" s="346"/>
      <c r="M384" s="346"/>
      <c r="N384" s="357"/>
      <c r="O384" s="357"/>
      <c r="P384" s="357"/>
      <c r="Q384" s="357"/>
      <c r="R384" s="346"/>
      <c r="S384" s="346"/>
      <c r="T384" s="346"/>
      <c r="U384" s="346"/>
      <c r="V384" s="346"/>
      <c r="W384" s="346"/>
      <c r="X384" s="346"/>
      <c r="Y384" s="346"/>
      <c r="Z384" s="346"/>
      <c r="AA384" s="346"/>
      <c r="AB384" s="346"/>
      <c r="AC384" s="346"/>
      <c r="AD384" s="346"/>
      <c r="AE384" s="346"/>
      <c r="AF384" s="350"/>
      <c r="AG384" s="369"/>
      <c r="AH384" s="370"/>
      <c r="AI384" s="370"/>
      <c r="AJ384" s="358"/>
    </row>
    <row r="385" spans="1:36" s="231" customFormat="1" ht="14">
      <c r="A385" s="311">
        <v>6.1</v>
      </c>
      <c r="B385" s="312" t="s">
        <v>149</v>
      </c>
      <c r="C385" s="312"/>
      <c r="D385" s="312"/>
      <c r="E385" s="346"/>
      <c r="F385" s="347"/>
      <c r="G385" s="346"/>
      <c r="H385" s="346"/>
      <c r="I385" s="346"/>
      <c r="J385" s="346"/>
      <c r="K385" s="346"/>
      <c r="L385" s="346"/>
      <c r="M385" s="346"/>
      <c r="N385" s="357"/>
      <c r="O385" s="357"/>
      <c r="P385" s="357"/>
      <c r="Q385" s="357"/>
      <c r="R385" s="346"/>
      <c r="S385" s="346"/>
      <c r="T385" s="346"/>
      <c r="U385" s="346"/>
      <c r="V385" s="346">
        <v>1</v>
      </c>
      <c r="W385" s="346"/>
      <c r="X385" s="346"/>
      <c r="Y385" s="346"/>
      <c r="Z385" s="346"/>
      <c r="AA385" s="346"/>
      <c r="AB385" s="346"/>
      <c r="AC385" s="346">
        <f t="shared" si="24"/>
        <v>1</v>
      </c>
      <c r="AD385" s="346" t="s">
        <v>51</v>
      </c>
      <c r="AE385" s="311" t="s">
        <v>67</v>
      </c>
      <c r="AF385" s="342" t="s">
        <v>31</v>
      </c>
      <c r="AG385" s="415">
        <v>0.05</v>
      </c>
      <c r="AH385" s="415">
        <v>0.05</v>
      </c>
      <c r="AI385" s="415">
        <v>0.05</v>
      </c>
      <c r="AJ385" s="358">
        <f t="shared" si="25"/>
        <v>320867.25</v>
      </c>
    </row>
    <row r="386" spans="1:36" s="231" customFormat="1" ht="14">
      <c r="A386" s="311">
        <v>6.2</v>
      </c>
      <c r="B386" s="312" t="s">
        <v>151</v>
      </c>
      <c r="C386" s="312"/>
      <c r="D386" s="312"/>
      <c r="E386" s="346"/>
      <c r="F386" s="347"/>
      <c r="G386" s="346"/>
      <c r="H386" s="346"/>
      <c r="I386" s="346"/>
      <c r="J386" s="346"/>
      <c r="K386" s="346"/>
      <c r="L386" s="346"/>
      <c r="M386" s="346"/>
      <c r="N386" s="357"/>
      <c r="O386" s="357"/>
      <c r="P386" s="357"/>
      <c r="Q386" s="357"/>
      <c r="R386" s="346"/>
      <c r="S386" s="346"/>
      <c r="T386" s="346"/>
      <c r="U386" s="346"/>
      <c r="V386" s="346">
        <v>1</v>
      </c>
      <c r="W386" s="346"/>
      <c r="X386" s="346"/>
      <c r="Y386" s="346"/>
      <c r="Z386" s="346"/>
      <c r="AA386" s="346"/>
      <c r="AB386" s="346"/>
      <c r="AC386" s="346">
        <f t="shared" si="24"/>
        <v>1</v>
      </c>
      <c r="AD386" s="346" t="s">
        <v>51</v>
      </c>
      <c r="AE386" s="311" t="s">
        <v>67</v>
      </c>
      <c r="AF386" s="342" t="s">
        <v>31</v>
      </c>
      <c r="AG386" s="415">
        <v>0.04</v>
      </c>
      <c r="AH386" s="415">
        <v>0.04</v>
      </c>
      <c r="AI386" s="415">
        <v>0.04</v>
      </c>
      <c r="AJ386" s="358">
        <f t="shared" si="25"/>
        <v>320867.25</v>
      </c>
    </row>
    <row r="387" spans="1:36" s="231" customFormat="1" ht="104">
      <c r="A387" s="350" t="s">
        <v>157</v>
      </c>
      <c r="B387" s="347" t="s">
        <v>561</v>
      </c>
      <c r="C387" s="347"/>
      <c r="D387" s="347"/>
      <c r="E387" s="346"/>
      <c r="F387" s="347"/>
      <c r="G387" s="346"/>
      <c r="H387" s="346"/>
      <c r="I387" s="346"/>
      <c r="J387" s="346"/>
      <c r="K387" s="346"/>
      <c r="L387" s="346">
        <v>1</v>
      </c>
      <c r="M387" s="346"/>
      <c r="N387" s="357"/>
      <c r="O387" s="357"/>
      <c r="P387" s="357"/>
      <c r="Q387" s="357"/>
      <c r="R387" s="346"/>
      <c r="S387" s="346"/>
      <c r="T387" s="346"/>
      <c r="U387" s="346"/>
      <c r="V387" s="346">
        <v>1</v>
      </c>
      <c r="W387" s="346"/>
      <c r="X387" s="346"/>
      <c r="Y387" s="346"/>
      <c r="Z387" s="346"/>
      <c r="AA387" s="346"/>
      <c r="AB387" s="346"/>
      <c r="AC387" s="346">
        <f t="shared" si="24"/>
        <v>2</v>
      </c>
      <c r="AD387" s="346" t="s">
        <v>51</v>
      </c>
      <c r="AE387" s="346" t="s">
        <v>440</v>
      </c>
      <c r="AF387" s="350" t="s">
        <v>31</v>
      </c>
      <c r="AG387" s="369">
        <v>0.6</v>
      </c>
      <c r="AH387" s="370">
        <v>0.9</v>
      </c>
      <c r="AI387" s="370">
        <v>1.08</v>
      </c>
      <c r="AJ387" s="358">
        <f t="shared" si="25"/>
        <v>616497.75</v>
      </c>
    </row>
    <row r="388" spans="1:36" s="231" customFormat="1" ht="78">
      <c r="A388" s="311">
        <v>8</v>
      </c>
      <c r="B388" s="312" t="s">
        <v>476</v>
      </c>
      <c r="C388" s="312"/>
      <c r="D388" s="312"/>
      <c r="E388" s="346"/>
      <c r="F388" s="347"/>
      <c r="G388" s="346"/>
      <c r="H388" s="346"/>
      <c r="I388" s="346"/>
      <c r="J388" s="346"/>
      <c r="K388" s="346"/>
      <c r="L388" s="346"/>
      <c r="M388" s="346"/>
      <c r="N388" s="357"/>
      <c r="O388" s="357"/>
      <c r="P388" s="357"/>
      <c r="Q388" s="357"/>
      <c r="R388" s="346"/>
      <c r="S388" s="346"/>
      <c r="T388" s="346"/>
      <c r="U388" s="346"/>
      <c r="V388" s="346"/>
      <c r="W388" s="346">
        <v>1</v>
      </c>
      <c r="X388" s="346"/>
      <c r="Y388" s="346"/>
      <c r="Z388" s="346"/>
      <c r="AA388" s="346"/>
      <c r="AB388" s="346"/>
      <c r="AC388" s="346">
        <f t="shared" si="24"/>
        <v>1</v>
      </c>
      <c r="AD388" s="278" t="s">
        <v>51</v>
      </c>
      <c r="AE388" s="346" t="s">
        <v>104</v>
      </c>
      <c r="AF388" s="342" t="s">
        <v>31</v>
      </c>
      <c r="AG388" s="415">
        <v>0.2</v>
      </c>
      <c r="AH388" s="415">
        <v>0.2</v>
      </c>
      <c r="AI388" s="415">
        <v>0.26</v>
      </c>
      <c r="AJ388" s="358">
        <f t="shared" si="25"/>
        <v>360525</v>
      </c>
    </row>
    <row r="389" spans="1:36" s="231" customFormat="1" ht="26">
      <c r="A389" s="311">
        <v>9</v>
      </c>
      <c r="B389" s="312" t="s">
        <v>477</v>
      </c>
      <c r="C389" s="312"/>
      <c r="D389" s="312"/>
      <c r="E389" s="346"/>
      <c r="F389" s="347"/>
      <c r="G389" s="346"/>
      <c r="H389" s="346"/>
      <c r="I389" s="346"/>
      <c r="J389" s="346"/>
      <c r="K389" s="346"/>
      <c r="L389" s="346"/>
      <c r="M389" s="346"/>
      <c r="N389" s="357"/>
      <c r="O389" s="357"/>
      <c r="P389" s="357"/>
      <c r="Q389" s="357"/>
      <c r="R389" s="346"/>
      <c r="S389" s="346"/>
      <c r="T389" s="346"/>
      <c r="U389" s="346"/>
      <c r="V389" s="346"/>
      <c r="W389" s="346">
        <v>1</v>
      </c>
      <c r="X389" s="346"/>
      <c r="Y389" s="346"/>
      <c r="Z389" s="346"/>
      <c r="AA389" s="346"/>
      <c r="AB389" s="346"/>
      <c r="AC389" s="346">
        <f t="shared" si="24"/>
        <v>1</v>
      </c>
      <c r="AD389" s="278" t="s">
        <v>51</v>
      </c>
      <c r="AE389" s="346" t="s">
        <v>104</v>
      </c>
      <c r="AF389" s="342" t="s">
        <v>31</v>
      </c>
      <c r="AG389" s="415">
        <v>0.3</v>
      </c>
      <c r="AH389" s="415">
        <v>0.3</v>
      </c>
      <c r="AI389" s="415">
        <v>0.4</v>
      </c>
      <c r="AJ389" s="358">
        <f t="shared" si="25"/>
        <v>360525</v>
      </c>
    </row>
    <row r="390" spans="1:36" s="231" customFormat="1" ht="26">
      <c r="A390" s="311">
        <v>10</v>
      </c>
      <c r="B390" s="312" t="s">
        <v>478</v>
      </c>
      <c r="C390" s="312"/>
      <c r="D390" s="312"/>
      <c r="E390" s="346"/>
      <c r="F390" s="347"/>
      <c r="G390" s="346"/>
      <c r="H390" s="346"/>
      <c r="I390" s="346"/>
      <c r="J390" s="346"/>
      <c r="K390" s="346"/>
      <c r="L390" s="346"/>
      <c r="M390" s="346"/>
      <c r="N390" s="357"/>
      <c r="O390" s="357"/>
      <c r="P390" s="357"/>
      <c r="Q390" s="357"/>
      <c r="R390" s="346"/>
      <c r="S390" s="346"/>
      <c r="T390" s="346"/>
      <c r="U390" s="346"/>
      <c r="V390" s="346"/>
      <c r="W390" s="346">
        <v>1</v>
      </c>
      <c r="X390" s="346"/>
      <c r="Y390" s="346"/>
      <c r="Z390" s="346"/>
      <c r="AA390" s="346"/>
      <c r="AB390" s="346"/>
      <c r="AC390" s="346">
        <f t="shared" si="24"/>
        <v>1</v>
      </c>
      <c r="AD390" s="278" t="s">
        <v>51</v>
      </c>
      <c r="AE390" s="346" t="s">
        <v>104</v>
      </c>
      <c r="AF390" s="342" t="s">
        <v>31</v>
      </c>
      <c r="AG390" s="311">
        <v>0.2</v>
      </c>
      <c r="AH390" s="311">
        <v>0.2</v>
      </c>
      <c r="AI390" s="311">
        <v>0.26</v>
      </c>
      <c r="AJ390" s="358">
        <f t="shared" si="25"/>
        <v>360525</v>
      </c>
    </row>
    <row r="391" spans="1:36" s="231" customFormat="1" ht="91">
      <c r="A391" s="311">
        <v>11</v>
      </c>
      <c r="B391" s="312" t="s">
        <v>479</v>
      </c>
      <c r="C391" s="312"/>
      <c r="D391" s="312"/>
      <c r="E391" s="346"/>
      <c r="F391" s="347"/>
      <c r="G391" s="346"/>
      <c r="H391" s="346"/>
      <c r="I391" s="346"/>
      <c r="J391" s="346"/>
      <c r="K391" s="346"/>
      <c r="L391" s="346"/>
      <c r="M391" s="346"/>
      <c r="N391" s="357"/>
      <c r="O391" s="357"/>
      <c r="P391" s="357"/>
      <c r="Q391" s="357"/>
      <c r="R391" s="346"/>
      <c r="S391" s="346"/>
      <c r="T391" s="346"/>
      <c r="U391" s="346"/>
      <c r="V391" s="346"/>
      <c r="W391" s="346">
        <v>1</v>
      </c>
      <c r="X391" s="346"/>
      <c r="Y391" s="346"/>
      <c r="Z391" s="346"/>
      <c r="AA391" s="346"/>
      <c r="AB391" s="346"/>
      <c r="AC391" s="346">
        <f t="shared" si="24"/>
        <v>1</v>
      </c>
      <c r="AD391" s="278" t="s">
        <v>51</v>
      </c>
      <c r="AE391" s="346" t="s">
        <v>104</v>
      </c>
      <c r="AF391" s="342" t="s">
        <v>31</v>
      </c>
      <c r="AG391" s="458">
        <v>1</v>
      </c>
      <c r="AH391" s="458">
        <v>1</v>
      </c>
      <c r="AI391" s="458">
        <v>1.2</v>
      </c>
      <c r="AJ391" s="358">
        <f t="shared" si="25"/>
        <v>360525</v>
      </c>
    </row>
    <row r="392" spans="1:36" s="231" customFormat="1" ht="52">
      <c r="A392" s="311">
        <v>12</v>
      </c>
      <c r="B392" s="312" t="s">
        <v>562</v>
      </c>
      <c r="C392" s="312"/>
      <c r="D392" s="312"/>
      <c r="E392" s="346"/>
      <c r="F392" s="347"/>
      <c r="G392" s="346"/>
      <c r="H392" s="346"/>
      <c r="I392" s="346"/>
      <c r="J392" s="346"/>
      <c r="K392" s="346"/>
      <c r="L392" s="346"/>
      <c r="M392" s="346"/>
      <c r="N392" s="357"/>
      <c r="O392" s="357"/>
      <c r="P392" s="357"/>
      <c r="Q392" s="357"/>
      <c r="R392" s="346"/>
      <c r="S392" s="346"/>
      <c r="T392" s="346"/>
      <c r="U392" s="346"/>
      <c r="V392" s="346"/>
      <c r="W392" s="346">
        <v>1</v>
      </c>
      <c r="X392" s="346"/>
      <c r="Y392" s="346"/>
      <c r="Z392" s="346"/>
      <c r="AA392" s="346"/>
      <c r="AB392" s="346"/>
      <c r="AC392" s="346">
        <f t="shared" si="24"/>
        <v>1</v>
      </c>
      <c r="AD392" s="278" t="s">
        <v>51</v>
      </c>
      <c r="AE392" s="346" t="s">
        <v>104</v>
      </c>
      <c r="AF392" s="342" t="s">
        <v>31</v>
      </c>
      <c r="AG392" s="458">
        <v>1</v>
      </c>
      <c r="AH392" s="458">
        <v>1</v>
      </c>
      <c r="AI392" s="458">
        <v>1.2</v>
      </c>
      <c r="AJ392" s="358">
        <f t="shared" si="25"/>
        <v>360525</v>
      </c>
    </row>
    <row r="393" spans="1:36" s="231" customFormat="1" ht="65">
      <c r="A393" s="311">
        <v>13</v>
      </c>
      <c r="B393" s="312" t="s">
        <v>480</v>
      </c>
      <c r="C393" s="312"/>
      <c r="D393" s="312"/>
      <c r="E393" s="346"/>
      <c r="F393" s="347"/>
      <c r="G393" s="346"/>
      <c r="H393" s="346"/>
      <c r="I393" s="346"/>
      <c r="J393" s="346"/>
      <c r="K393" s="346"/>
      <c r="L393" s="346"/>
      <c r="M393" s="346"/>
      <c r="N393" s="357"/>
      <c r="O393" s="357"/>
      <c r="P393" s="357"/>
      <c r="Q393" s="357"/>
      <c r="R393" s="346"/>
      <c r="S393" s="346"/>
      <c r="T393" s="346"/>
      <c r="U393" s="346"/>
      <c r="V393" s="346"/>
      <c r="W393" s="346">
        <v>1</v>
      </c>
      <c r="X393" s="346"/>
      <c r="Y393" s="346"/>
      <c r="Z393" s="346"/>
      <c r="AA393" s="346"/>
      <c r="AB393" s="346"/>
      <c r="AC393" s="346">
        <f t="shared" si="24"/>
        <v>1</v>
      </c>
      <c r="AD393" s="278" t="s">
        <v>51</v>
      </c>
      <c r="AE393" s="346" t="s">
        <v>104</v>
      </c>
      <c r="AF393" s="342" t="s">
        <v>31</v>
      </c>
      <c r="AG393" s="415">
        <v>0.2</v>
      </c>
      <c r="AH393" s="415">
        <v>0.2</v>
      </c>
      <c r="AI393" s="415">
        <v>0.26</v>
      </c>
      <c r="AJ393" s="358">
        <f t="shared" si="25"/>
        <v>360525</v>
      </c>
    </row>
    <row r="394" spans="1:36" s="231" customFormat="1" ht="39">
      <c r="A394" s="311">
        <v>14</v>
      </c>
      <c r="B394" s="312" t="s">
        <v>669</v>
      </c>
      <c r="C394" s="312"/>
      <c r="D394" s="312"/>
      <c r="E394" s="311"/>
      <c r="F394" s="366"/>
      <c r="G394" s="311"/>
      <c r="H394" s="311"/>
      <c r="I394" s="311"/>
      <c r="J394" s="311"/>
      <c r="K394" s="311"/>
      <c r="L394" s="311">
        <v>1</v>
      </c>
      <c r="M394" s="311"/>
      <c r="N394" s="367"/>
      <c r="O394" s="367"/>
      <c r="P394" s="367"/>
      <c r="Q394" s="367"/>
      <c r="R394" s="311"/>
      <c r="S394" s="311"/>
      <c r="T394" s="311"/>
      <c r="U394" s="311"/>
      <c r="V394" s="311"/>
      <c r="W394" s="311"/>
      <c r="X394" s="311"/>
      <c r="Y394" s="311"/>
      <c r="Z394" s="311"/>
      <c r="AA394" s="311"/>
      <c r="AB394" s="311"/>
      <c r="AC394" s="311">
        <f>SUM(E394:AB394)</f>
        <v>1</v>
      </c>
      <c r="AD394" s="311" t="s">
        <v>51</v>
      </c>
      <c r="AE394" s="311" t="s">
        <v>106</v>
      </c>
      <c r="AF394" s="342" t="s">
        <v>31</v>
      </c>
      <c r="AG394" s="415">
        <v>0.06</v>
      </c>
      <c r="AH394" s="415">
        <v>0.06</v>
      </c>
      <c r="AI394" s="415">
        <v>7.8E-2</v>
      </c>
      <c r="AJ394" s="374">
        <f>(E394*E$6+F394*F$6+G394*G$6+H394*H$6+I394*I$6+J394*J$6+K394*K$6+L394*L$6+M394*M$6+N394*N$6+O394*O$6+P394*P$6+Q394*Q$6+R394*R$6+S394*S$6+T394*T$6+U394*U$6+V394*V$6+W394*W$6+X394*X$6+Y394*Y$6+Z394*Z$6+AA394*AA$6+AB394*AB$6)</f>
        <v>295630.50000000006</v>
      </c>
    </row>
    <row r="395" spans="1:36" s="183" customFormat="1" ht="52">
      <c r="A395" s="311">
        <v>15</v>
      </c>
      <c r="B395" s="312" t="s">
        <v>483</v>
      </c>
      <c r="C395" s="312"/>
      <c r="D395" s="312"/>
      <c r="E395" s="311"/>
      <c r="F395" s="366"/>
      <c r="G395" s="311"/>
      <c r="H395" s="311"/>
      <c r="I395" s="311"/>
      <c r="J395" s="311"/>
      <c r="K395" s="311"/>
      <c r="L395" s="311"/>
      <c r="M395" s="311"/>
      <c r="N395" s="367"/>
      <c r="O395" s="367"/>
      <c r="P395" s="367"/>
      <c r="Q395" s="367"/>
      <c r="R395" s="311"/>
      <c r="S395" s="311"/>
      <c r="T395" s="311"/>
      <c r="U395" s="311"/>
      <c r="V395" s="311">
        <v>1</v>
      </c>
      <c r="W395" s="311"/>
      <c r="X395" s="311"/>
      <c r="Y395" s="311"/>
      <c r="Z395" s="311"/>
      <c r="AA395" s="311"/>
      <c r="AB395" s="311"/>
      <c r="AC395" s="311">
        <f>SUM(E395:AB395)</f>
        <v>1</v>
      </c>
      <c r="AD395" s="311" t="s">
        <v>51</v>
      </c>
      <c r="AE395" s="311" t="s">
        <v>67</v>
      </c>
      <c r="AF395" s="342" t="s">
        <v>31</v>
      </c>
      <c r="AG395" s="415">
        <v>0.05</v>
      </c>
      <c r="AH395" s="415">
        <v>0.05</v>
      </c>
      <c r="AI395" s="415">
        <v>6.5000000000000002E-2</v>
      </c>
      <c r="AJ395" s="374">
        <f>(E395*E$6+F395*F$6+G395*G$6+H395*H$6+I395*I$6+J395*J$6+K395*K$6+L395*L$6+M395*M$6+N395*N$6+O395*O$6+P395*P$6+Q395*Q$6+R395*R$6+S395*S$6+T395*T$6+U395*U$6+V395*V$6+W395*W$6+X395*X$6+Y395*Y$6+Z395*Z$6+AA395*AA$6+AB395*AB$6)</f>
        <v>320867.25</v>
      </c>
    </row>
    <row r="396" spans="1:36" s="183" customFormat="1" ht="52">
      <c r="A396" s="311">
        <v>16</v>
      </c>
      <c r="B396" s="312" t="s">
        <v>484</v>
      </c>
      <c r="C396" s="312"/>
      <c r="D396" s="312"/>
      <c r="E396" s="311"/>
      <c r="F396" s="366"/>
      <c r="G396" s="311"/>
      <c r="H396" s="311"/>
      <c r="I396" s="311"/>
      <c r="J396" s="311"/>
      <c r="K396" s="311"/>
      <c r="L396" s="311"/>
      <c r="M396" s="311"/>
      <c r="N396" s="367"/>
      <c r="O396" s="367"/>
      <c r="P396" s="367"/>
      <c r="Q396" s="367"/>
      <c r="R396" s="311"/>
      <c r="S396" s="311"/>
      <c r="T396" s="311"/>
      <c r="U396" s="311"/>
      <c r="V396" s="311">
        <v>1</v>
      </c>
      <c r="W396" s="311"/>
      <c r="X396" s="311"/>
      <c r="Y396" s="311"/>
      <c r="Z396" s="311"/>
      <c r="AA396" s="311"/>
      <c r="AB396" s="311"/>
      <c r="AC396" s="311">
        <f>SUM(E396:AB396)</f>
        <v>1</v>
      </c>
      <c r="AD396" s="311" t="s">
        <v>51</v>
      </c>
      <c r="AE396" s="311" t="s">
        <v>67</v>
      </c>
      <c r="AF396" s="342" t="s">
        <v>31</v>
      </c>
      <c r="AG396" s="415">
        <v>0.1</v>
      </c>
      <c r="AH396" s="415">
        <v>0.1</v>
      </c>
      <c r="AI396" s="415">
        <v>0.15</v>
      </c>
      <c r="AJ396" s="374">
        <f>(E396*E$6+F396*F$6+G396*G$6+H396*H$6+I396*I$6+J396*J$6+K396*K$6+L396*L$6+M396*M$6+N396*N$6+O396*O$6+P396*P$6+Q396*Q$6+R396*R$6+S396*S$6+T396*T$6+U396*U$6+V396*V$6+W396*W$6+X396*X$6+Y396*Y$6+Z396*Z$6+AA396*AA$6+AB396*AB$6)</f>
        <v>320867.25</v>
      </c>
    </row>
    <row r="397" spans="1:36" s="231" customFormat="1" ht="26">
      <c r="A397" s="350" t="s">
        <v>205</v>
      </c>
      <c r="B397" s="347" t="s">
        <v>563</v>
      </c>
      <c r="C397" s="347"/>
      <c r="D397" s="347"/>
      <c r="E397" s="346"/>
      <c r="F397" s="347"/>
      <c r="G397" s="346"/>
      <c r="H397" s="346"/>
      <c r="I397" s="346"/>
      <c r="J397" s="346"/>
      <c r="K397" s="346"/>
      <c r="L397" s="346"/>
      <c r="M397" s="346"/>
      <c r="N397" s="357"/>
      <c r="O397" s="357"/>
      <c r="P397" s="357"/>
      <c r="Q397" s="357"/>
      <c r="R397" s="346"/>
      <c r="S397" s="346"/>
      <c r="T397" s="346"/>
      <c r="U397" s="346"/>
      <c r="V397" s="346"/>
      <c r="W397" s="346">
        <v>1</v>
      </c>
      <c r="X397" s="346"/>
      <c r="Y397" s="346"/>
      <c r="Z397" s="346"/>
      <c r="AA397" s="346"/>
      <c r="AB397" s="346"/>
      <c r="AC397" s="346">
        <f t="shared" si="24"/>
        <v>1</v>
      </c>
      <c r="AD397" s="346" t="s">
        <v>1</v>
      </c>
      <c r="AE397" s="346" t="s">
        <v>104</v>
      </c>
      <c r="AF397" s="350" t="s">
        <v>31</v>
      </c>
      <c r="AG397" s="369">
        <v>6.0000000000000001E-3</v>
      </c>
      <c r="AH397" s="370">
        <v>6.0000000000000001E-3</v>
      </c>
      <c r="AI397" s="370">
        <v>6.0000000000000001E-3</v>
      </c>
      <c r="AJ397" s="358">
        <f t="shared" si="25"/>
        <v>360525</v>
      </c>
    </row>
    <row r="398" spans="1:36" s="231" customFormat="1" ht="26">
      <c r="A398" s="569" t="s">
        <v>264</v>
      </c>
      <c r="B398" s="366" t="s">
        <v>578</v>
      </c>
      <c r="C398" s="366"/>
      <c r="D398" s="366"/>
      <c r="E398" s="311"/>
      <c r="F398" s="366"/>
      <c r="G398" s="311"/>
      <c r="H398" s="311"/>
      <c r="I398" s="311"/>
      <c r="J398" s="311"/>
      <c r="K398" s="311"/>
      <c r="L398" s="311"/>
      <c r="M398" s="311"/>
      <c r="N398" s="367"/>
      <c r="O398" s="367"/>
      <c r="P398" s="367"/>
      <c r="Q398" s="367"/>
      <c r="R398" s="311"/>
      <c r="S398" s="311"/>
      <c r="T398" s="311"/>
      <c r="U398" s="311"/>
      <c r="V398" s="311"/>
      <c r="W398" s="311"/>
      <c r="X398" s="311"/>
      <c r="Y398" s="311"/>
      <c r="Z398" s="311"/>
      <c r="AA398" s="311"/>
      <c r="AB398" s="311"/>
      <c r="AC398" s="311">
        <f t="shared" si="24"/>
        <v>0</v>
      </c>
      <c r="AD398" s="311"/>
      <c r="AE398" s="311"/>
      <c r="AF398" s="569"/>
      <c r="AG398" s="415"/>
      <c r="AH398" s="581"/>
      <c r="AI398" s="581"/>
      <c r="AJ398" s="374">
        <f t="shared" si="25"/>
        <v>0</v>
      </c>
    </row>
    <row r="399" spans="1:36" s="410" customFormat="1" ht="14">
      <c r="A399" s="563" t="s">
        <v>498</v>
      </c>
      <c r="B399" s="564" t="s">
        <v>163</v>
      </c>
      <c r="C399" s="564"/>
      <c r="D399" s="564"/>
      <c r="E399" s="311"/>
      <c r="F399" s="366"/>
      <c r="G399" s="311"/>
      <c r="H399" s="311"/>
      <c r="I399" s="311"/>
      <c r="J399" s="311"/>
      <c r="K399" s="311"/>
      <c r="L399" s="311"/>
      <c r="M399" s="311"/>
      <c r="N399" s="367"/>
      <c r="O399" s="367"/>
      <c r="P399" s="367"/>
      <c r="Q399" s="367"/>
      <c r="R399" s="311"/>
      <c r="S399" s="311"/>
      <c r="T399" s="311"/>
      <c r="U399" s="311"/>
      <c r="V399" s="311">
        <v>1</v>
      </c>
      <c r="W399" s="311"/>
      <c r="X399" s="311"/>
      <c r="Y399" s="311"/>
      <c r="Z399" s="311"/>
      <c r="AA399" s="311"/>
      <c r="AB399" s="311"/>
      <c r="AC399" s="311">
        <f t="shared" si="24"/>
        <v>1</v>
      </c>
      <c r="AD399" s="311" t="s">
        <v>51</v>
      </c>
      <c r="AE399" s="311" t="s">
        <v>67</v>
      </c>
      <c r="AF399" s="569" t="s">
        <v>31</v>
      </c>
      <c r="AG399" s="415">
        <v>0.05</v>
      </c>
      <c r="AH399" s="581">
        <v>0</v>
      </c>
      <c r="AI399" s="581">
        <v>0.05</v>
      </c>
      <c r="AJ399" s="374">
        <f t="shared" si="25"/>
        <v>320867.25</v>
      </c>
    </row>
    <row r="400" spans="1:36" s="410" customFormat="1" ht="14">
      <c r="A400" s="563" t="s">
        <v>499</v>
      </c>
      <c r="B400" s="564" t="s">
        <v>164</v>
      </c>
      <c r="C400" s="564"/>
      <c r="D400" s="564"/>
      <c r="E400" s="311"/>
      <c r="F400" s="366"/>
      <c r="G400" s="311"/>
      <c r="H400" s="311"/>
      <c r="I400" s="311"/>
      <c r="J400" s="311"/>
      <c r="K400" s="311"/>
      <c r="L400" s="311"/>
      <c r="M400" s="311"/>
      <c r="N400" s="367"/>
      <c r="O400" s="367"/>
      <c r="P400" s="367"/>
      <c r="Q400" s="367"/>
      <c r="R400" s="311"/>
      <c r="S400" s="311"/>
      <c r="T400" s="311"/>
      <c r="U400" s="311"/>
      <c r="V400" s="311">
        <v>1</v>
      </c>
      <c r="W400" s="311"/>
      <c r="X400" s="311"/>
      <c r="Y400" s="311"/>
      <c r="Z400" s="311"/>
      <c r="AA400" s="311"/>
      <c r="AB400" s="311"/>
      <c r="AC400" s="311">
        <f t="shared" si="24"/>
        <v>1</v>
      </c>
      <c r="AD400" s="311" t="s">
        <v>51</v>
      </c>
      <c r="AE400" s="311" t="s">
        <v>67</v>
      </c>
      <c r="AF400" s="569" t="s">
        <v>31</v>
      </c>
      <c r="AG400" s="415">
        <v>0.1</v>
      </c>
      <c r="AH400" s="581">
        <v>0</v>
      </c>
      <c r="AI400" s="581">
        <v>0.1</v>
      </c>
      <c r="AJ400" s="374">
        <f t="shared" si="25"/>
        <v>320867.25</v>
      </c>
    </row>
    <row r="401" spans="1:36" s="229" customFormat="1" ht="26">
      <c r="A401" s="595">
        <v>19</v>
      </c>
      <c r="B401" s="607" t="s">
        <v>469</v>
      </c>
      <c r="C401" s="607"/>
      <c r="D401" s="607"/>
      <c r="E401" s="226"/>
      <c r="F401" s="227"/>
      <c r="G401" s="226"/>
      <c r="H401" s="226"/>
      <c r="I401" s="226"/>
      <c r="J401" s="226"/>
      <c r="K401" s="226"/>
      <c r="L401" s="226"/>
      <c r="M401" s="226"/>
      <c r="N401" s="363"/>
      <c r="O401" s="363"/>
      <c r="P401" s="363"/>
      <c r="Q401" s="363"/>
      <c r="R401" s="226"/>
      <c r="S401" s="226"/>
      <c r="T401" s="226"/>
      <c r="U401" s="226"/>
      <c r="V401" s="226"/>
      <c r="W401" s="226"/>
      <c r="X401" s="226"/>
      <c r="Y401" s="226"/>
      <c r="Z401" s="226"/>
      <c r="AA401" s="226"/>
      <c r="AB401" s="226"/>
      <c r="AC401" s="226"/>
      <c r="AD401" s="226"/>
      <c r="AE401" s="226"/>
      <c r="AF401" s="224"/>
      <c r="AG401" s="371"/>
      <c r="AH401" s="372"/>
      <c r="AI401" s="372"/>
      <c r="AJ401" s="364"/>
    </row>
    <row r="402" spans="1:36" s="410" customFormat="1" ht="18.75" customHeight="1">
      <c r="A402" s="439">
        <v>19.100000000000001</v>
      </c>
      <c r="B402" s="440" t="s">
        <v>470</v>
      </c>
      <c r="C402" s="440"/>
      <c r="D402" s="440"/>
      <c r="E402" s="439"/>
      <c r="F402" s="564"/>
      <c r="G402" s="439"/>
      <c r="H402" s="439"/>
      <c r="I402" s="439"/>
      <c r="J402" s="439"/>
      <c r="K402" s="439"/>
      <c r="L402" s="439"/>
      <c r="M402" s="439"/>
      <c r="N402" s="575"/>
      <c r="O402" s="575"/>
      <c r="P402" s="575"/>
      <c r="Q402" s="575"/>
      <c r="R402" s="439"/>
      <c r="S402" s="439"/>
      <c r="T402" s="439"/>
      <c r="U402" s="439"/>
      <c r="V402" s="439"/>
      <c r="W402" s="439">
        <v>1</v>
      </c>
      <c r="X402" s="439"/>
      <c r="Y402" s="439"/>
      <c r="Z402" s="439"/>
      <c r="AA402" s="439"/>
      <c r="AB402" s="439"/>
      <c r="AC402" s="439">
        <f t="shared" si="24"/>
        <v>1</v>
      </c>
      <c r="AD402" s="439" t="s">
        <v>51</v>
      </c>
      <c r="AE402" s="439" t="s">
        <v>104</v>
      </c>
      <c r="AF402" s="568" t="s">
        <v>31</v>
      </c>
      <c r="AG402" s="439">
        <v>0.03</v>
      </c>
      <c r="AH402" s="439">
        <v>0.03</v>
      </c>
      <c r="AI402" s="439">
        <v>0.03</v>
      </c>
      <c r="AJ402" s="576">
        <f t="shared" si="25"/>
        <v>360525</v>
      </c>
    </row>
    <row r="403" spans="1:36" s="410" customFormat="1" ht="18.75" customHeight="1">
      <c r="A403" s="439">
        <v>19.2</v>
      </c>
      <c r="B403" s="440" t="s">
        <v>471</v>
      </c>
      <c r="C403" s="440"/>
      <c r="D403" s="440"/>
      <c r="E403" s="439"/>
      <c r="F403" s="564"/>
      <c r="G403" s="439"/>
      <c r="H403" s="439"/>
      <c r="I403" s="439"/>
      <c r="J403" s="439"/>
      <c r="K403" s="439"/>
      <c r="L403" s="439"/>
      <c r="M403" s="439"/>
      <c r="N403" s="575"/>
      <c r="O403" s="575"/>
      <c r="P403" s="575"/>
      <c r="Q403" s="575"/>
      <c r="R403" s="439"/>
      <c r="S403" s="439"/>
      <c r="T403" s="439"/>
      <c r="U403" s="439"/>
      <c r="V403" s="439"/>
      <c r="W403" s="439">
        <v>1</v>
      </c>
      <c r="X403" s="439"/>
      <c r="Y403" s="439"/>
      <c r="Z403" s="439"/>
      <c r="AA403" s="439"/>
      <c r="AB403" s="439"/>
      <c r="AC403" s="439">
        <f t="shared" si="24"/>
        <v>1</v>
      </c>
      <c r="AD403" s="439" t="s">
        <v>51</v>
      </c>
      <c r="AE403" s="439" t="s">
        <v>104</v>
      </c>
      <c r="AF403" s="568" t="s">
        <v>31</v>
      </c>
      <c r="AG403" s="439">
        <v>0.04</v>
      </c>
      <c r="AH403" s="439">
        <v>0.04</v>
      </c>
      <c r="AI403" s="439">
        <v>0.04</v>
      </c>
      <c r="AJ403" s="576">
        <f t="shared" si="25"/>
        <v>360525</v>
      </c>
    </row>
    <row r="404" spans="1:36" s="231" customFormat="1" ht="26">
      <c r="A404" s="311">
        <v>20</v>
      </c>
      <c r="B404" s="312" t="s">
        <v>472</v>
      </c>
      <c r="C404" s="312"/>
      <c r="D404" s="312"/>
      <c r="E404" s="311"/>
      <c r="F404" s="366"/>
      <c r="G404" s="311"/>
      <c r="H404" s="311"/>
      <c r="I404" s="311"/>
      <c r="J404" s="311"/>
      <c r="K404" s="311"/>
      <c r="L404" s="311"/>
      <c r="M404" s="311"/>
      <c r="N404" s="367"/>
      <c r="O404" s="367"/>
      <c r="P404" s="367"/>
      <c r="Q404" s="367"/>
      <c r="R404" s="311"/>
      <c r="S404" s="311"/>
      <c r="T404" s="311"/>
      <c r="U404" s="311"/>
      <c r="V404" s="311"/>
      <c r="W404" s="311"/>
      <c r="X404" s="311"/>
      <c r="Y404" s="311"/>
      <c r="Z404" s="311"/>
      <c r="AA404" s="311"/>
      <c r="AB404" s="311"/>
      <c r="AC404" s="311"/>
      <c r="AD404" s="311"/>
      <c r="AE404" s="311"/>
      <c r="AF404" s="569"/>
      <c r="AG404" s="459"/>
      <c r="AH404" s="459"/>
      <c r="AI404" s="459"/>
      <c r="AJ404" s="374"/>
    </row>
    <row r="405" spans="1:36" s="410" customFormat="1" ht="16.5" customHeight="1">
      <c r="A405" s="439">
        <v>20.100000000000001</v>
      </c>
      <c r="B405" s="440" t="s">
        <v>470</v>
      </c>
      <c r="C405" s="440"/>
      <c r="D405" s="440"/>
      <c r="E405" s="439"/>
      <c r="F405" s="564"/>
      <c r="G405" s="439"/>
      <c r="H405" s="439"/>
      <c r="I405" s="439"/>
      <c r="J405" s="439"/>
      <c r="K405" s="439"/>
      <c r="L405" s="439"/>
      <c r="M405" s="439"/>
      <c r="N405" s="575"/>
      <c r="O405" s="575"/>
      <c r="P405" s="575"/>
      <c r="Q405" s="575"/>
      <c r="R405" s="439"/>
      <c r="S405" s="439"/>
      <c r="T405" s="439"/>
      <c r="U405" s="439"/>
      <c r="V405" s="439">
        <v>1</v>
      </c>
      <c r="W405" s="439"/>
      <c r="X405" s="439"/>
      <c r="Y405" s="439"/>
      <c r="Z405" s="439"/>
      <c r="AA405" s="439"/>
      <c r="AB405" s="439"/>
      <c r="AC405" s="439">
        <f t="shared" si="24"/>
        <v>1</v>
      </c>
      <c r="AD405" s="439" t="s">
        <v>51</v>
      </c>
      <c r="AE405" s="439" t="s">
        <v>67</v>
      </c>
      <c r="AF405" s="568" t="s">
        <v>31</v>
      </c>
      <c r="AG405" s="439">
        <v>0.04</v>
      </c>
      <c r="AH405" s="439">
        <v>0.04</v>
      </c>
      <c r="AI405" s="439">
        <v>0.04</v>
      </c>
      <c r="AJ405" s="576">
        <f t="shared" si="25"/>
        <v>320867.25</v>
      </c>
    </row>
    <row r="406" spans="1:36" s="410" customFormat="1" ht="16.5" customHeight="1">
      <c r="A406" s="439">
        <v>20.2</v>
      </c>
      <c r="B406" s="440" t="s">
        <v>471</v>
      </c>
      <c r="C406" s="440"/>
      <c r="D406" s="440"/>
      <c r="E406" s="439"/>
      <c r="F406" s="564"/>
      <c r="G406" s="439"/>
      <c r="H406" s="439"/>
      <c r="I406" s="439"/>
      <c r="J406" s="439"/>
      <c r="K406" s="439"/>
      <c r="L406" s="439"/>
      <c r="M406" s="439"/>
      <c r="N406" s="575"/>
      <c r="O406" s="575"/>
      <c r="P406" s="575"/>
      <c r="Q406" s="575"/>
      <c r="R406" s="439"/>
      <c r="S406" s="439"/>
      <c r="T406" s="439"/>
      <c r="U406" s="439"/>
      <c r="V406" s="439">
        <v>1</v>
      </c>
      <c r="W406" s="439"/>
      <c r="X406" s="439"/>
      <c r="Y406" s="439"/>
      <c r="Z406" s="439"/>
      <c r="AA406" s="439"/>
      <c r="AB406" s="439"/>
      <c r="AC406" s="439">
        <f t="shared" si="24"/>
        <v>1</v>
      </c>
      <c r="AD406" s="439" t="s">
        <v>51</v>
      </c>
      <c r="AE406" s="439" t="s">
        <v>67</v>
      </c>
      <c r="AF406" s="568" t="s">
        <v>31</v>
      </c>
      <c r="AG406" s="439">
        <v>0.03</v>
      </c>
      <c r="AH406" s="439">
        <v>0.03</v>
      </c>
      <c r="AI406" s="439">
        <v>0.03</v>
      </c>
      <c r="AJ406" s="576">
        <f t="shared" si="25"/>
        <v>320867.25</v>
      </c>
    </row>
    <row r="407" spans="1:36" s="231" customFormat="1" ht="26">
      <c r="A407" s="569" t="s">
        <v>269</v>
      </c>
      <c r="B407" s="366" t="s">
        <v>172</v>
      </c>
      <c r="C407" s="366"/>
      <c r="D407" s="366"/>
      <c r="E407" s="311"/>
      <c r="F407" s="366"/>
      <c r="G407" s="311"/>
      <c r="H407" s="311"/>
      <c r="I407" s="311"/>
      <c r="J407" s="311"/>
      <c r="K407" s="311"/>
      <c r="L407" s="311"/>
      <c r="M407" s="311"/>
      <c r="N407" s="367"/>
      <c r="O407" s="367"/>
      <c r="P407" s="367"/>
      <c r="Q407" s="367"/>
      <c r="R407" s="311"/>
      <c r="S407" s="311"/>
      <c r="T407" s="311"/>
      <c r="U407" s="311"/>
      <c r="V407" s="311"/>
      <c r="W407" s="311">
        <v>1</v>
      </c>
      <c r="X407" s="311"/>
      <c r="Y407" s="311"/>
      <c r="Z407" s="311"/>
      <c r="AA407" s="311"/>
      <c r="AB407" s="311"/>
      <c r="AC407" s="311">
        <f t="shared" si="24"/>
        <v>1</v>
      </c>
      <c r="AD407" s="311" t="s">
        <v>1</v>
      </c>
      <c r="AE407" s="311" t="s">
        <v>104</v>
      </c>
      <c r="AF407" s="569" t="s">
        <v>31</v>
      </c>
      <c r="AG407" s="415">
        <v>0.03</v>
      </c>
      <c r="AH407" s="581">
        <v>0.17100000000000001</v>
      </c>
      <c r="AI407" s="581">
        <v>0.23499999999999999</v>
      </c>
      <c r="AJ407" s="374">
        <f t="shared" si="25"/>
        <v>360525</v>
      </c>
    </row>
    <row r="408" spans="1:36" s="231" customFormat="1" ht="14">
      <c r="A408" s="569" t="s">
        <v>271</v>
      </c>
      <c r="B408" s="366" t="s">
        <v>174</v>
      </c>
      <c r="C408" s="366"/>
      <c r="D408" s="366"/>
      <c r="E408" s="311"/>
      <c r="F408" s="366"/>
      <c r="G408" s="311"/>
      <c r="H408" s="311"/>
      <c r="I408" s="311"/>
      <c r="J408" s="311"/>
      <c r="K408" s="311"/>
      <c r="L408" s="311"/>
      <c r="M408" s="311"/>
      <c r="N408" s="367"/>
      <c r="O408" s="367"/>
      <c r="P408" s="367"/>
      <c r="Q408" s="367"/>
      <c r="R408" s="311"/>
      <c r="S408" s="311"/>
      <c r="T408" s="311"/>
      <c r="U408" s="311"/>
      <c r="V408" s="311"/>
      <c r="W408" s="311"/>
      <c r="X408" s="311"/>
      <c r="Y408" s="311"/>
      <c r="Z408" s="311"/>
      <c r="AA408" s="311"/>
      <c r="AB408" s="311"/>
      <c r="AC408" s="311">
        <f t="shared" si="24"/>
        <v>0</v>
      </c>
      <c r="AD408" s="311"/>
      <c r="AE408" s="311"/>
      <c r="AF408" s="569"/>
      <c r="AG408" s="415"/>
      <c r="AH408" s="581"/>
      <c r="AI408" s="581"/>
      <c r="AJ408" s="374">
        <f t="shared" si="25"/>
        <v>0</v>
      </c>
    </row>
    <row r="409" spans="1:36" s="410" customFormat="1" ht="14">
      <c r="A409" s="563" t="s">
        <v>508</v>
      </c>
      <c r="B409" s="564" t="s">
        <v>176</v>
      </c>
      <c r="C409" s="564"/>
      <c r="D409" s="564"/>
      <c r="E409" s="311"/>
      <c r="F409" s="366"/>
      <c r="G409" s="311"/>
      <c r="H409" s="311"/>
      <c r="I409" s="311"/>
      <c r="J409" s="311"/>
      <c r="K409" s="311"/>
      <c r="L409" s="311"/>
      <c r="M409" s="311"/>
      <c r="N409" s="367"/>
      <c r="O409" s="367"/>
      <c r="P409" s="367"/>
      <c r="Q409" s="367"/>
      <c r="R409" s="311"/>
      <c r="S409" s="311"/>
      <c r="T409" s="311"/>
      <c r="U409" s="311"/>
      <c r="V409" s="311">
        <v>1</v>
      </c>
      <c r="W409" s="311"/>
      <c r="X409" s="311"/>
      <c r="Y409" s="311"/>
      <c r="Z409" s="311"/>
      <c r="AA409" s="311"/>
      <c r="AB409" s="311"/>
      <c r="AC409" s="311">
        <f t="shared" si="24"/>
        <v>1</v>
      </c>
      <c r="AD409" s="311" t="s">
        <v>141</v>
      </c>
      <c r="AE409" s="311" t="s">
        <v>67</v>
      </c>
      <c r="AF409" s="569" t="s">
        <v>31</v>
      </c>
      <c r="AG409" s="415">
        <v>0.1</v>
      </c>
      <c r="AH409" s="581">
        <v>0.1</v>
      </c>
      <c r="AI409" s="581">
        <v>0.1</v>
      </c>
      <c r="AJ409" s="374">
        <f t="shared" si="25"/>
        <v>320867.25</v>
      </c>
    </row>
    <row r="410" spans="1:36" s="410" customFormat="1" ht="14">
      <c r="A410" s="563" t="s">
        <v>509</v>
      </c>
      <c r="B410" s="564" t="s">
        <v>177</v>
      </c>
      <c r="C410" s="564"/>
      <c r="D410" s="564"/>
      <c r="E410" s="311"/>
      <c r="F410" s="366"/>
      <c r="G410" s="311"/>
      <c r="H410" s="311"/>
      <c r="I410" s="311"/>
      <c r="J410" s="311"/>
      <c r="K410" s="311"/>
      <c r="L410" s="311"/>
      <c r="M410" s="311"/>
      <c r="N410" s="367"/>
      <c r="O410" s="367"/>
      <c r="P410" s="367"/>
      <c r="Q410" s="367"/>
      <c r="R410" s="311"/>
      <c r="S410" s="311"/>
      <c r="T410" s="311"/>
      <c r="U410" s="311"/>
      <c r="V410" s="311">
        <v>1</v>
      </c>
      <c r="W410" s="311"/>
      <c r="X410" s="311"/>
      <c r="Y410" s="311"/>
      <c r="Z410" s="311"/>
      <c r="AA410" s="311"/>
      <c r="AB410" s="311"/>
      <c r="AC410" s="311">
        <f t="shared" si="24"/>
        <v>1</v>
      </c>
      <c r="AD410" s="311" t="s">
        <v>141</v>
      </c>
      <c r="AE410" s="311" t="s">
        <v>67</v>
      </c>
      <c r="AF410" s="569" t="s">
        <v>31</v>
      </c>
      <c r="AG410" s="415">
        <v>0.15</v>
      </c>
      <c r="AH410" s="581">
        <v>0.2</v>
      </c>
      <c r="AI410" s="581">
        <v>0.2</v>
      </c>
      <c r="AJ410" s="374">
        <f t="shared" si="25"/>
        <v>320867.25</v>
      </c>
    </row>
    <row r="411" spans="1:36" s="410" customFormat="1" ht="26">
      <c r="A411" s="569" t="s">
        <v>273</v>
      </c>
      <c r="B411" s="366" t="s">
        <v>494</v>
      </c>
      <c r="C411" s="366"/>
      <c r="D411" s="366"/>
      <c r="E411" s="311"/>
      <c r="F411" s="366"/>
      <c r="G411" s="311"/>
      <c r="H411" s="311"/>
      <c r="I411" s="311"/>
      <c r="J411" s="311"/>
      <c r="K411" s="311"/>
      <c r="L411" s="311"/>
      <c r="M411" s="311"/>
      <c r="N411" s="367"/>
      <c r="O411" s="367"/>
      <c r="P411" s="367"/>
      <c r="Q411" s="367"/>
      <c r="R411" s="311"/>
      <c r="S411" s="311"/>
      <c r="T411" s="311"/>
      <c r="U411" s="311"/>
      <c r="V411" s="311">
        <v>1</v>
      </c>
      <c r="W411" s="311"/>
      <c r="X411" s="311"/>
      <c r="Y411" s="311"/>
      <c r="Z411" s="311"/>
      <c r="AA411" s="311"/>
      <c r="AB411" s="311"/>
      <c r="AC411" s="311">
        <f t="shared" si="24"/>
        <v>1</v>
      </c>
      <c r="AD411" s="311" t="s">
        <v>141</v>
      </c>
      <c r="AE411" s="311" t="s">
        <v>67</v>
      </c>
      <c r="AF411" s="569" t="s">
        <v>31</v>
      </c>
      <c r="AG411" s="415">
        <v>0.1</v>
      </c>
      <c r="AH411" s="581">
        <v>0.1</v>
      </c>
      <c r="AI411" s="581">
        <v>0.1</v>
      </c>
      <c r="AJ411" s="374">
        <f t="shared" si="25"/>
        <v>320867.25</v>
      </c>
    </row>
    <row r="412" spans="1:36" s="231" customFormat="1" ht="44.25" customHeight="1">
      <c r="A412" s="350" t="s">
        <v>275</v>
      </c>
      <c r="B412" s="347" t="s">
        <v>481</v>
      </c>
      <c r="C412" s="347"/>
      <c r="D412" s="347"/>
      <c r="E412" s="346"/>
      <c r="F412" s="347"/>
      <c r="G412" s="346"/>
      <c r="H412" s="346"/>
      <c r="I412" s="346"/>
      <c r="J412" s="346"/>
      <c r="K412" s="346"/>
      <c r="L412" s="346"/>
      <c r="M412" s="346"/>
      <c r="N412" s="357"/>
      <c r="O412" s="357"/>
      <c r="P412" s="357"/>
      <c r="Q412" s="357"/>
      <c r="R412" s="346"/>
      <c r="S412" s="346"/>
      <c r="T412" s="346"/>
      <c r="U412" s="346"/>
      <c r="V412" s="346">
        <v>1</v>
      </c>
      <c r="W412" s="346"/>
      <c r="X412" s="346"/>
      <c r="Y412" s="346"/>
      <c r="Z412" s="346"/>
      <c r="AA412" s="346"/>
      <c r="AB412" s="346"/>
      <c r="AC412" s="346">
        <f t="shared" si="24"/>
        <v>1</v>
      </c>
      <c r="AD412" s="278" t="s">
        <v>141</v>
      </c>
      <c r="AE412" s="346" t="s">
        <v>67</v>
      </c>
      <c r="AF412" s="342" t="s">
        <v>31</v>
      </c>
      <c r="AG412" s="369">
        <v>0.1</v>
      </c>
      <c r="AH412" s="370">
        <v>0.1</v>
      </c>
      <c r="AI412" s="370">
        <v>0.1</v>
      </c>
      <c r="AJ412" s="358">
        <f t="shared" si="25"/>
        <v>320867.25</v>
      </c>
    </row>
    <row r="413" spans="1:36" s="231" customFormat="1" ht="26">
      <c r="A413" s="350" t="s">
        <v>277</v>
      </c>
      <c r="B413" s="347" t="s">
        <v>564</v>
      </c>
      <c r="C413" s="347"/>
      <c r="D413" s="347"/>
      <c r="E413" s="346"/>
      <c r="F413" s="347"/>
      <c r="G413" s="346"/>
      <c r="H413" s="346"/>
      <c r="I413" s="346"/>
      <c r="J413" s="346"/>
      <c r="K413" s="346"/>
      <c r="L413" s="346"/>
      <c r="M413" s="346"/>
      <c r="N413" s="357"/>
      <c r="O413" s="357"/>
      <c r="P413" s="357"/>
      <c r="Q413" s="357"/>
      <c r="R413" s="346"/>
      <c r="S413" s="346"/>
      <c r="T413" s="346"/>
      <c r="U413" s="346"/>
      <c r="V413" s="346">
        <v>1</v>
      </c>
      <c r="W413" s="346"/>
      <c r="X413" s="346"/>
      <c r="Y413" s="346"/>
      <c r="Z413" s="346"/>
      <c r="AA413" s="346"/>
      <c r="AB413" s="346"/>
      <c r="AC413" s="346">
        <f t="shared" si="24"/>
        <v>1</v>
      </c>
      <c r="AD413" s="346" t="s">
        <v>51</v>
      </c>
      <c r="AE413" s="346" t="s">
        <v>67</v>
      </c>
      <c r="AF413" s="350" t="s">
        <v>31</v>
      </c>
      <c r="AG413" s="369">
        <v>0.37</v>
      </c>
      <c r="AH413" s="370">
        <v>0.37</v>
      </c>
      <c r="AI413" s="370">
        <v>0.44400000000000001</v>
      </c>
      <c r="AJ413" s="358">
        <f t="shared" si="25"/>
        <v>320867.25</v>
      </c>
    </row>
    <row r="414" spans="1:36" s="231" customFormat="1" ht="14">
      <c r="A414" s="350" t="s">
        <v>279</v>
      </c>
      <c r="B414" s="347" t="s">
        <v>181</v>
      </c>
      <c r="C414" s="347"/>
      <c r="D414" s="347"/>
      <c r="E414" s="346"/>
      <c r="F414" s="347"/>
      <c r="G414" s="346"/>
      <c r="H414" s="346"/>
      <c r="I414" s="346"/>
      <c r="J414" s="346"/>
      <c r="K414" s="346"/>
      <c r="L414" s="346"/>
      <c r="M414" s="346"/>
      <c r="N414" s="357"/>
      <c r="O414" s="357"/>
      <c r="P414" s="357"/>
      <c r="Q414" s="357"/>
      <c r="R414" s="346"/>
      <c r="S414" s="346"/>
      <c r="T414" s="346"/>
      <c r="U414" s="346"/>
      <c r="V414" s="346"/>
      <c r="W414" s="346">
        <v>1</v>
      </c>
      <c r="X414" s="346"/>
      <c r="Y414" s="346"/>
      <c r="Z414" s="346"/>
      <c r="AA414" s="346"/>
      <c r="AB414" s="346"/>
      <c r="AC414" s="346">
        <f t="shared" si="24"/>
        <v>1</v>
      </c>
      <c r="AD414" s="346" t="s">
        <v>1</v>
      </c>
      <c r="AE414" s="346" t="s">
        <v>104</v>
      </c>
      <c r="AF414" s="350" t="s">
        <v>31</v>
      </c>
      <c r="AG414" s="369">
        <v>3.3000000000000002E-2</v>
      </c>
      <c r="AH414" s="370">
        <v>3.3000000000000002E-2</v>
      </c>
      <c r="AI414" s="370">
        <v>3.3000000000000002E-2</v>
      </c>
      <c r="AJ414" s="358">
        <f t="shared" si="25"/>
        <v>360525</v>
      </c>
    </row>
    <row r="415" spans="1:36" s="231" customFormat="1" ht="26">
      <c r="A415" s="350" t="s">
        <v>281</v>
      </c>
      <c r="B415" s="347" t="s">
        <v>184</v>
      </c>
      <c r="C415" s="347"/>
      <c r="D415" s="347"/>
      <c r="E415" s="346"/>
      <c r="F415" s="347"/>
      <c r="G415" s="346"/>
      <c r="H415" s="346"/>
      <c r="I415" s="346"/>
      <c r="J415" s="346"/>
      <c r="K415" s="346"/>
      <c r="L415" s="346"/>
      <c r="M415" s="346"/>
      <c r="N415" s="357"/>
      <c r="O415" s="357"/>
      <c r="P415" s="357"/>
      <c r="Q415" s="357"/>
      <c r="R415" s="346"/>
      <c r="S415" s="346"/>
      <c r="T415" s="346"/>
      <c r="U415" s="346"/>
      <c r="V415" s="346"/>
      <c r="W415" s="346"/>
      <c r="X415" s="346"/>
      <c r="Y415" s="346"/>
      <c r="Z415" s="346"/>
      <c r="AA415" s="346"/>
      <c r="AB415" s="346"/>
      <c r="AC415" s="346">
        <f t="shared" si="24"/>
        <v>0</v>
      </c>
      <c r="AD415" s="346"/>
      <c r="AE415" s="346"/>
      <c r="AF415" s="350"/>
      <c r="AG415" s="369"/>
      <c r="AH415" s="370"/>
      <c r="AI415" s="370"/>
      <c r="AJ415" s="358">
        <f t="shared" si="25"/>
        <v>0</v>
      </c>
    </row>
    <row r="416" spans="1:36" s="231" customFormat="1" ht="14">
      <c r="A416" s="350" t="s">
        <v>565</v>
      </c>
      <c r="B416" s="347" t="s">
        <v>185</v>
      </c>
      <c r="C416" s="347"/>
      <c r="D416" s="347"/>
      <c r="E416" s="346"/>
      <c r="F416" s="347"/>
      <c r="G416" s="346"/>
      <c r="H416" s="346"/>
      <c r="I416" s="346"/>
      <c r="J416" s="346"/>
      <c r="K416" s="346"/>
      <c r="L416" s="346"/>
      <c r="M416" s="346"/>
      <c r="N416" s="357"/>
      <c r="O416" s="357"/>
      <c r="P416" s="357"/>
      <c r="Q416" s="357"/>
      <c r="R416" s="346"/>
      <c r="S416" s="346"/>
      <c r="T416" s="346"/>
      <c r="U416" s="346">
        <v>1</v>
      </c>
      <c r="V416" s="346"/>
      <c r="W416" s="346"/>
      <c r="X416" s="346"/>
      <c r="Y416" s="346"/>
      <c r="Z416" s="346"/>
      <c r="AA416" s="346"/>
      <c r="AB416" s="346"/>
      <c r="AC416" s="346">
        <f t="shared" si="24"/>
        <v>1</v>
      </c>
      <c r="AD416" s="346" t="s">
        <v>444</v>
      </c>
      <c r="AE416" s="346" t="s">
        <v>66</v>
      </c>
      <c r="AF416" s="350" t="s">
        <v>31</v>
      </c>
      <c r="AG416" s="369">
        <v>1.6E-2</v>
      </c>
      <c r="AH416" s="370">
        <v>1.6E-2</v>
      </c>
      <c r="AI416" s="370">
        <v>0.02</v>
      </c>
      <c r="AJ416" s="358">
        <f t="shared" si="25"/>
        <v>281209.5</v>
      </c>
    </row>
    <row r="417" spans="1:41" s="231" customFormat="1" ht="14">
      <c r="A417" s="350" t="s">
        <v>566</v>
      </c>
      <c r="B417" s="347" t="s">
        <v>186</v>
      </c>
      <c r="C417" s="347"/>
      <c r="D417" s="347"/>
      <c r="E417" s="346"/>
      <c r="F417" s="347"/>
      <c r="G417" s="346"/>
      <c r="H417" s="346"/>
      <c r="I417" s="346"/>
      <c r="J417" s="346"/>
      <c r="K417" s="346"/>
      <c r="L417" s="346"/>
      <c r="M417" s="346"/>
      <c r="N417" s="357"/>
      <c r="O417" s="357"/>
      <c r="P417" s="357"/>
      <c r="Q417" s="357"/>
      <c r="R417" s="346"/>
      <c r="S417" s="346"/>
      <c r="T417" s="346"/>
      <c r="U417" s="346">
        <v>1</v>
      </c>
      <c r="V417" s="346"/>
      <c r="W417" s="346"/>
      <c r="X417" s="346"/>
      <c r="Y417" s="346"/>
      <c r="Z417" s="346"/>
      <c r="AA417" s="346"/>
      <c r="AB417" s="346"/>
      <c r="AC417" s="346">
        <f t="shared" si="24"/>
        <v>1</v>
      </c>
      <c r="AD417" s="346" t="s">
        <v>444</v>
      </c>
      <c r="AE417" s="346" t="s">
        <v>66</v>
      </c>
      <c r="AF417" s="350" t="s">
        <v>31</v>
      </c>
      <c r="AG417" s="369">
        <v>8.0000000000000002E-3</v>
      </c>
      <c r="AH417" s="370">
        <v>8.0000000000000002E-3</v>
      </c>
      <c r="AI417" s="370">
        <v>0.01</v>
      </c>
      <c r="AJ417" s="358">
        <f t="shared" si="25"/>
        <v>281209.5</v>
      </c>
    </row>
    <row r="418" spans="1:41" s="231" customFormat="1" ht="39">
      <c r="A418" s="350" t="s">
        <v>283</v>
      </c>
      <c r="B418" s="347" t="s">
        <v>187</v>
      </c>
      <c r="C418" s="347"/>
      <c r="D418" s="347"/>
      <c r="E418" s="346"/>
      <c r="F418" s="347"/>
      <c r="G418" s="346"/>
      <c r="H418" s="346"/>
      <c r="I418" s="346"/>
      <c r="J418" s="346"/>
      <c r="K418" s="346"/>
      <c r="L418" s="346"/>
      <c r="M418" s="346"/>
      <c r="N418" s="357"/>
      <c r="O418" s="357"/>
      <c r="P418" s="357"/>
      <c r="Q418" s="357"/>
      <c r="R418" s="346"/>
      <c r="S418" s="346"/>
      <c r="T418" s="346"/>
      <c r="U418" s="346">
        <v>1</v>
      </c>
      <c r="V418" s="346"/>
      <c r="W418" s="346"/>
      <c r="X418" s="346"/>
      <c r="Y418" s="346"/>
      <c r="Z418" s="346"/>
      <c r="AA418" s="346"/>
      <c r="AB418" s="346"/>
      <c r="AC418" s="346">
        <f t="shared" si="24"/>
        <v>1</v>
      </c>
      <c r="AD418" s="346" t="s">
        <v>444</v>
      </c>
      <c r="AE418" s="346" t="s">
        <v>66</v>
      </c>
      <c r="AF418" s="350" t="s">
        <v>31</v>
      </c>
      <c r="AG418" s="369">
        <v>4.0000000000000001E-3</v>
      </c>
      <c r="AH418" s="370">
        <v>4.0000000000000001E-3</v>
      </c>
      <c r="AI418" s="370">
        <v>5.0000000000000001E-3</v>
      </c>
      <c r="AJ418" s="358">
        <f t="shared" si="25"/>
        <v>281209.5</v>
      </c>
    </row>
    <row r="419" spans="1:41" s="231" customFormat="1" ht="26">
      <c r="A419" s="350" t="s">
        <v>285</v>
      </c>
      <c r="B419" s="347" t="s">
        <v>188</v>
      </c>
      <c r="C419" s="347"/>
      <c r="D419" s="347"/>
      <c r="E419" s="346"/>
      <c r="F419" s="347"/>
      <c r="G419" s="346"/>
      <c r="H419" s="346"/>
      <c r="I419" s="346"/>
      <c r="J419" s="346"/>
      <c r="K419" s="346"/>
      <c r="L419" s="346"/>
      <c r="M419" s="346"/>
      <c r="N419" s="357"/>
      <c r="O419" s="357"/>
      <c r="P419" s="357"/>
      <c r="Q419" s="357"/>
      <c r="R419" s="346"/>
      <c r="S419" s="346"/>
      <c r="T419" s="346"/>
      <c r="U419" s="346">
        <v>1</v>
      </c>
      <c r="V419" s="346"/>
      <c r="W419" s="346"/>
      <c r="X419" s="346"/>
      <c r="Y419" s="346"/>
      <c r="Z419" s="346"/>
      <c r="AA419" s="346"/>
      <c r="AB419" s="346"/>
      <c r="AC419" s="346">
        <f t="shared" si="24"/>
        <v>1</v>
      </c>
      <c r="AD419" s="346" t="s">
        <v>1</v>
      </c>
      <c r="AE419" s="346" t="s">
        <v>66</v>
      </c>
      <c r="AF419" s="350" t="s">
        <v>31</v>
      </c>
      <c r="AG419" s="369">
        <v>0.01</v>
      </c>
      <c r="AH419" s="370">
        <v>0.01</v>
      </c>
      <c r="AI419" s="370">
        <v>0.01</v>
      </c>
      <c r="AJ419" s="358">
        <f t="shared" si="25"/>
        <v>281209.5</v>
      </c>
    </row>
    <row r="420" spans="1:41" s="231" customFormat="1" ht="78">
      <c r="A420" s="350" t="s">
        <v>510</v>
      </c>
      <c r="B420" s="347" t="s">
        <v>555</v>
      </c>
      <c r="C420" s="347"/>
      <c r="D420" s="347"/>
      <c r="E420" s="346"/>
      <c r="F420" s="347"/>
      <c r="G420" s="346"/>
      <c r="H420" s="346"/>
      <c r="I420" s="346"/>
      <c r="J420" s="346"/>
      <c r="K420" s="346"/>
      <c r="L420" s="346"/>
      <c r="M420" s="346"/>
      <c r="N420" s="357"/>
      <c r="O420" s="357"/>
      <c r="P420" s="357"/>
      <c r="Q420" s="357"/>
      <c r="R420" s="346"/>
      <c r="S420" s="346"/>
      <c r="T420" s="346"/>
      <c r="U420" s="346"/>
      <c r="V420" s="346">
        <v>1</v>
      </c>
      <c r="W420" s="346"/>
      <c r="X420" s="346"/>
      <c r="Y420" s="346"/>
      <c r="Z420" s="346"/>
      <c r="AA420" s="346"/>
      <c r="AB420" s="346"/>
      <c r="AC420" s="346">
        <f t="shared" si="24"/>
        <v>1</v>
      </c>
      <c r="AD420" s="346" t="s">
        <v>51</v>
      </c>
      <c r="AE420" s="346" t="s">
        <v>67</v>
      </c>
      <c r="AF420" s="350" t="s">
        <v>31</v>
      </c>
      <c r="AG420" s="369">
        <v>0.05</v>
      </c>
      <c r="AH420" s="369">
        <v>0.05</v>
      </c>
      <c r="AI420" s="369">
        <v>6.5000000000000002E-2</v>
      </c>
      <c r="AJ420" s="358">
        <f t="shared" si="25"/>
        <v>320867.25</v>
      </c>
    </row>
    <row r="421" spans="1:41" s="231" customFormat="1" ht="26">
      <c r="A421" s="350" t="s">
        <v>511</v>
      </c>
      <c r="B421" s="347" t="s">
        <v>668</v>
      </c>
      <c r="C421" s="347"/>
      <c r="D421" s="347"/>
      <c r="E421" s="346"/>
      <c r="F421" s="347"/>
      <c r="G421" s="346"/>
      <c r="H421" s="346"/>
      <c r="I421" s="346"/>
      <c r="J421" s="346"/>
      <c r="K421" s="346"/>
      <c r="L421" s="346"/>
      <c r="M421" s="346"/>
      <c r="N421" s="357"/>
      <c r="O421" s="357"/>
      <c r="P421" s="357"/>
      <c r="Q421" s="357"/>
      <c r="R421" s="346"/>
      <c r="S421" s="346"/>
      <c r="T421" s="346"/>
      <c r="U421" s="346"/>
      <c r="V421" s="346">
        <v>1</v>
      </c>
      <c r="W421" s="346"/>
      <c r="X421" s="346"/>
      <c r="Y421" s="346"/>
      <c r="Z421" s="346"/>
      <c r="AA421" s="346"/>
      <c r="AB421" s="346"/>
      <c r="AC421" s="346">
        <f t="shared" si="24"/>
        <v>1</v>
      </c>
      <c r="AD421" s="346" t="s">
        <v>51</v>
      </c>
      <c r="AE421" s="346" t="s">
        <v>67</v>
      </c>
      <c r="AF421" s="350" t="s">
        <v>31</v>
      </c>
      <c r="AG421" s="369">
        <v>0.1</v>
      </c>
      <c r="AH421" s="369">
        <v>0.1</v>
      </c>
      <c r="AI421" s="369">
        <v>0.13</v>
      </c>
      <c r="AJ421" s="358">
        <f t="shared" si="25"/>
        <v>320867.25</v>
      </c>
    </row>
    <row r="422" spans="1:41" ht="22.15" hidden="1" customHeight="1">
      <c r="A422" s="341"/>
      <c r="B422" s="894"/>
      <c r="C422" s="894"/>
      <c r="D422" s="894"/>
      <c r="E422" s="894"/>
      <c r="F422" s="894"/>
      <c r="G422" s="894"/>
      <c r="H422" s="894"/>
      <c r="I422" s="894"/>
      <c r="J422" s="894"/>
      <c r="K422" s="894"/>
      <c r="L422" s="894"/>
      <c r="M422" s="894"/>
      <c r="N422" s="894"/>
      <c r="O422" s="894"/>
      <c r="P422" s="894"/>
      <c r="Q422" s="894"/>
      <c r="R422" s="894"/>
      <c r="S422" s="894"/>
      <c r="T422" s="894"/>
      <c r="U422" s="894"/>
      <c r="V422" s="894"/>
      <c r="W422" s="894"/>
      <c r="X422" s="894"/>
      <c r="Y422" s="894"/>
      <c r="Z422" s="894"/>
      <c r="AA422" s="894"/>
      <c r="AB422" s="894"/>
      <c r="AC422" s="894"/>
      <c r="AD422" s="894"/>
      <c r="AE422" s="894"/>
      <c r="AF422" s="894"/>
      <c r="AG422" s="894"/>
      <c r="AH422" s="75"/>
      <c r="AI422" s="233"/>
      <c r="AJ422" s="75"/>
    </row>
    <row r="423" spans="1:41" hidden="1">
      <c r="A423" s="224"/>
      <c r="B423" s="227"/>
      <c r="C423" s="227"/>
      <c r="D423" s="227"/>
      <c r="E423" s="226"/>
      <c r="F423" s="227"/>
      <c r="G423" s="226"/>
      <c r="H423" s="226"/>
      <c r="I423" s="226"/>
      <c r="J423" s="226"/>
      <c r="K423" s="226"/>
      <c r="L423" s="226"/>
      <c r="M423" s="226"/>
      <c r="N423" s="363"/>
      <c r="O423" s="363"/>
      <c r="P423" s="363"/>
      <c r="Q423" s="363"/>
      <c r="R423" s="226"/>
      <c r="S423" s="226"/>
      <c r="T423" s="226"/>
      <c r="U423" s="226"/>
      <c r="V423" s="226"/>
      <c r="W423" s="226"/>
      <c r="X423" s="226"/>
      <c r="Y423" s="226"/>
      <c r="Z423" s="226"/>
      <c r="AA423" s="226"/>
      <c r="AB423" s="226"/>
      <c r="AC423" s="226"/>
      <c r="AD423" s="226"/>
      <c r="AE423" s="226"/>
      <c r="AF423" s="342"/>
      <c r="AG423" s="363"/>
      <c r="AH423" s="373"/>
      <c r="AI423" s="373"/>
      <c r="AJ423" s="364"/>
    </row>
    <row r="424" spans="1:41" ht="22.15" customHeight="1">
      <c r="A424" s="65" t="s">
        <v>232</v>
      </c>
      <c r="B424" s="286" t="s">
        <v>246</v>
      </c>
      <c r="C424" s="287"/>
      <c r="D424" s="287"/>
      <c r="E424" s="287"/>
      <c r="F424" s="287"/>
      <c r="G424" s="287"/>
      <c r="H424" s="287"/>
      <c r="I424" s="287"/>
      <c r="J424" s="287"/>
      <c r="K424" s="287"/>
      <c r="L424" s="287"/>
      <c r="M424" s="287"/>
      <c r="N424" s="287"/>
      <c r="O424" s="287"/>
      <c r="P424" s="287"/>
      <c r="Q424" s="287"/>
      <c r="R424" s="287"/>
      <c r="S424" s="287"/>
      <c r="T424" s="287"/>
      <c r="U424" s="287"/>
      <c r="V424" s="287"/>
      <c r="W424" s="287"/>
      <c r="X424" s="287"/>
      <c r="Y424" s="287"/>
      <c r="Z424" s="287"/>
      <c r="AA424" s="287"/>
      <c r="AB424" s="287"/>
      <c r="AC424" s="287"/>
      <c r="AD424" s="287"/>
      <c r="AE424" s="287"/>
      <c r="AF424" s="287"/>
      <c r="AG424" s="287"/>
      <c r="AH424" s="290"/>
      <c r="AI424" s="59"/>
      <c r="AJ424" s="181"/>
    </row>
    <row r="425" spans="1:41" ht="32.5" customHeight="1">
      <c r="A425" s="47" t="s">
        <v>32</v>
      </c>
      <c r="B425" s="907" t="s">
        <v>682</v>
      </c>
      <c r="C425" s="908"/>
      <c r="D425" s="908"/>
      <c r="E425" s="908"/>
      <c r="F425" s="908"/>
      <c r="G425" s="908"/>
      <c r="H425" s="908"/>
      <c r="I425" s="908"/>
      <c r="J425" s="908"/>
      <c r="K425" s="908"/>
      <c r="L425" s="908"/>
      <c r="M425" s="908"/>
      <c r="N425" s="908"/>
      <c r="O425" s="908"/>
      <c r="P425" s="908"/>
      <c r="Q425" s="908"/>
      <c r="R425" s="908"/>
      <c r="S425" s="908"/>
      <c r="T425" s="908"/>
      <c r="U425" s="908"/>
      <c r="V425" s="908"/>
      <c r="W425" s="908"/>
      <c r="X425" s="908"/>
      <c r="Y425" s="908"/>
      <c r="Z425" s="908"/>
      <c r="AA425" s="908"/>
      <c r="AB425" s="908"/>
      <c r="AC425" s="908"/>
      <c r="AD425" s="908"/>
      <c r="AE425" s="908"/>
      <c r="AF425" s="909"/>
      <c r="AG425" s="44"/>
      <c r="AH425" s="58"/>
      <c r="AI425" s="58"/>
      <c r="AJ425" s="67"/>
    </row>
    <row r="426" spans="1:41" ht="30" customHeight="1">
      <c r="A426" s="47" t="s">
        <v>33</v>
      </c>
      <c r="B426" s="907" t="s">
        <v>875</v>
      </c>
      <c r="C426" s="908"/>
      <c r="D426" s="908"/>
      <c r="E426" s="908"/>
      <c r="F426" s="908"/>
      <c r="G426" s="908"/>
      <c r="H426" s="908"/>
      <c r="I426" s="908"/>
      <c r="J426" s="908"/>
      <c r="K426" s="908"/>
      <c r="L426" s="908"/>
      <c r="M426" s="908"/>
      <c r="N426" s="908"/>
      <c r="O426" s="908"/>
      <c r="P426" s="908"/>
      <c r="Q426" s="908"/>
      <c r="R426" s="908"/>
      <c r="S426" s="908"/>
      <c r="T426" s="908"/>
      <c r="U426" s="908"/>
      <c r="V426" s="908"/>
      <c r="W426" s="908"/>
      <c r="X426" s="908"/>
      <c r="Y426" s="908"/>
      <c r="Z426" s="908"/>
      <c r="AA426" s="908"/>
      <c r="AB426" s="908"/>
      <c r="AC426" s="908"/>
      <c r="AD426" s="908"/>
      <c r="AE426" s="908"/>
      <c r="AF426" s="909"/>
      <c r="AG426" s="45"/>
      <c r="AH426" s="72"/>
      <c r="AI426" s="72"/>
      <c r="AJ426" s="67"/>
    </row>
    <row r="427" spans="1:41" ht="41.25" customHeight="1">
      <c r="A427" s="836" t="s">
        <v>233</v>
      </c>
      <c r="B427" s="913" t="s">
        <v>756</v>
      </c>
      <c r="C427" s="913"/>
      <c r="D427" s="913"/>
      <c r="E427" s="913"/>
      <c r="F427" s="913"/>
      <c r="G427" s="913"/>
      <c r="H427" s="913"/>
      <c r="I427" s="913"/>
      <c r="J427" s="913"/>
      <c r="K427" s="913"/>
      <c r="L427" s="913"/>
      <c r="M427" s="913"/>
      <c r="N427" s="913"/>
      <c r="O427" s="913"/>
      <c r="P427" s="913"/>
      <c r="Q427" s="913"/>
      <c r="R427" s="913"/>
      <c r="S427" s="913"/>
      <c r="T427" s="913"/>
      <c r="U427" s="913"/>
      <c r="V427" s="913"/>
      <c r="W427" s="913"/>
      <c r="X427" s="913"/>
      <c r="Y427" s="913"/>
      <c r="Z427" s="913"/>
      <c r="AA427" s="913"/>
      <c r="AB427" s="913"/>
      <c r="AC427" s="913"/>
      <c r="AD427" s="913"/>
      <c r="AE427" s="913"/>
      <c r="AF427" s="913"/>
      <c r="AG427" s="359"/>
      <c r="AH427" s="359"/>
      <c r="AI427" s="359"/>
      <c r="AJ427" s="340" t="s">
        <v>307</v>
      </c>
    </row>
    <row r="428" spans="1:41" s="38" customFormat="1" ht="22.15" customHeight="1">
      <c r="A428" s="597" t="s">
        <v>234</v>
      </c>
      <c r="B428" s="890" t="s">
        <v>191</v>
      </c>
      <c r="C428" s="890"/>
      <c r="D428" s="890"/>
      <c r="E428" s="890"/>
      <c r="F428" s="890"/>
      <c r="G428" s="890"/>
      <c r="H428" s="890"/>
      <c r="I428" s="890"/>
      <c r="J428" s="890"/>
      <c r="K428" s="890"/>
      <c r="L428" s="890"/>
      <c r="M428" s="890"/>
      <c r="N428" s="890"/>
      <c r="O428" s="890"/>
      <c r="P428" s="890"/>
      <c r="Q428" s="890"/>
      <c r="R428" s="890"/>
      <c r="S428" s="890"/>
      <c r="T428" s="890"/>
      <c r="U428" s="890"/>
      <c r="V428" s="890"/>
      <c r="W428" s="890"/>
      <c r="X428" s="890"/>
      <c r="Y428" s="890"/>
      <c r="Z428" s="890"/>
      <c r="AA428" s="890"/>
      <c r="AB428" s="890"/>
      <c r="AC428" s="890"/>
      <c r="AD428" s="890"/>
      <c r="AE428" s="890"/>
      <c r="AF428" s="890"/>
      <c r="AG428" s="233" t="s">
        <v>209</v>
      </c>
      <c r="AH428" s="233" t="s">
        <v>210</v>
      </c>
      <c r="AI428" s="233" t="s">
        <v>211</v>
      </c>
      <c r="AJ428" s="600"/>
    </row>
    <row r="429" spans="1:41" s="231" customFormat="1" ht="14">
      <c r="A429" s="350" t="s">
        <v>32</v>
      </c>
      <c r="B429" s="347" t="s">
        <v>228</v>
      </c>
      <c r="C429" s="347"/>
      <c r="D429" s="347"/>
      <c r="E429" s="346"/>
      <c r="F429" s="347"/>
      <c r="G429" s="346"/>
      <c r="H429" s="346"/>
      <c r="I429" s="346"/>
      <c r="J429" s="346"/>
      <c r="K429" s="346"/>
      <c r="L429" s="346"/>
      <c r="M429" s="346"/>
      <c r="N429" s="357"/>
      <c r="O429" s="357"/>
      <c r="P429" s="357"/>
      <c r="Q429" s="357"/>
      <c r="R429" s="346"/>
      <c r="S429" s="346"/>
      <c r="T429" s="346"/>
      <c r="U429" s="346"/>
      <c r="V429" s="346"/>
      <c r="W429" s="346"/>
      <c r="X429" s="346"/>
      <c r="Y429" s="346"/>
      <c r="Z429" s="346"/>
      <c r="AA429" s="346"/>
      <c r="AB429" s="346"/>
      <c r="AC429" s="346">
        <f t="shared" ref="AC429:AC469" si="26">SUM(E429:AB429)</f>
        <v>0</v>
      </c>
      <c r="AD429" s="346"/>
      <c r="AE429" s="346"/>
      <c r="AF429" s="350"/>
      <c r="AG429" s="346"/>
      <c r="AH429" s="358"/>
      <c r="AI429" s="347"/>
      <c r="AJ429" s="358">
        <f t="shared" ref="AJ429:AJ473" si="27">(E429*E$6+F429*F$6+G429*G$6+H429*H$6+I429*I$6+J429*J$6+K429*K$6+L429*L$6+M429*M$6+N429*N$6+O429*O$6+P429*P$6+Q429*Q$6+R429*R$6+S429*S$6+T429*T$6+U429*U$6+V429*V$6+W429*W$6+X429*X$6+Y429*Y$6+Z429*Z$6+AA429*AA$6+AB429*AB$6)</f>
        <v>0</v>
      </c>
    </row>
    <row r="430" spans="1:41" s="410" customFormat="1" ht="14">
      <c r="A430" s="400" t="s">
        <v>132</v>
      </c>
      <c r="B430" s="365" t="s">
        <v>149</v>
      </c>
      <c r="C430" s="365"/>
      <c r="D430" s="365"/>
      <c r="E430" s="346"/>
      <c r="F430" s="347"/>
      <c r="G430" s="346"/>
      <c r="H430" s="346"/>
      <c r="I430" s="346"/>
      <c r="J430" s="346"/>
      <c r="K430" s="346"/>
      <c r="L430" s="346"/>
      <c r="M430" s="346"/>
      <c r="N430" s="357"/>
      <c r="O430" s="357"/>
      <c r="P430" s="357"/>
      <c r="Q430" s="357"/>
      <c r="R430" s="346"/>
      <c r="S430" s="346"/>
      <c r="T430" s="346"/>
      <c r="U430" s="346"/>
      <c r="V430" s="346"/>
      <c r="W430" s="346">
        <v>1</v>
      </c>
      <c r="X430" s="346"/>
      <c r="Y430" s="346"/>
      <c r="Z430" s="346"/>
      <c r="AA430" s="346"/>
      <c r="AB430" s="346"/>
      <c r="AC430" s="346">
        <f t="shared" si="26"/>
        <v>1</v>
      </c>
      <c r="AD430" s="346" t="s">
        <v>51</v>
      </c>
      <c r="AE430" s="346" t="s">
        <v>104</v>
      </c>
      <c r="AF430" s="350" t="s">
        <v>31</v>
      </c>
      <c r="AG430" s="369">
        <v>0.2</v>
      </c>
      <c r="AH430" s="370">
        <v>0.2</v>
      </c>
      <c r="AI430" s="370">
        <v>0.26</v>
      </c>
      <c r="AJ430" s="358">
        <f t="shared" si="27"/>
        <v>360525</v>
      </c>
      <c r="AL430" s="231"/>
      <c r="AM430" s="231"/>
      <c r="AN430" s="231"/>
      <c r="AO430" s="231"/>
    </row>
    <row r="431" spans="1:41" s="411" customFormat="1" ht="14">
      <c r="A431" s="400" t="s">
        <v>133</v>
      </c>
      <c r="B431" s="365" t="s">
        <v>151</v>
      </c>
      <c r="C431" s="365"/>
      <c r="D431" s="365"/>
      <c r="E431" s="346"/>
      <c r="F431" s="347"/>
      <c r="G431" s="346"/>
      <c r="H431" s="346"/>
      <c r="I431" s="346"/>
      <c r="J431" s="346"/>
      <c r="K431" s="346"/>
      <c r="L431" s="346"/>
      <c r="M431" s="346"/>
      <c r="N431" s="357"/>
      <c r="O431" s="357"/>
      <c r="P431" s="357"/>
      <c r="Q431" s="357"/>
      <c r="R431" s="346"/>
      <c r="S431" s="346"/>
      <c r="T431" s="346"/>
      <c r="U431" s="346"/>
      <c r="V431" s="346"/>
      <c r="W431" s="346">
        <v>1</v>
      </c>
      <c r="X431" s="346"/>
      <c r="Y431" s="346"/>
      <c r="Z431" s="346"/>
      <c r="AA431" s="346"/>
      <c r="AB431" s="346"/>
      <c r="AC431" s="346">
        <f t="shared" si="26"/>
        <v>1</v>
      </c>
      <c r="AD431" s="346" t="s">
        <v>51</v>
      </c>
      <c r="AE431" s="346" t="s">
        <v>104</v>
      </c>
      <c r="AF431" s="350" t="s">
        <v>31</v>
      </c>
      <c r="AG431" s="369">
        <v>0.15</v>
      </c>
      <c r="AH431" s="370">
        <v>0.15</v>
      </c>
      <c r="AI431" s="370">
        <v>0.19500000000000001</v>
      </c>
      <c r="AJ431" s="358">
        <f t="shared" si="27"/>
        <v>360525</v>
      </c>
      <c r="AK431" s="410"/>
      <c r="AL431" s="231"/>
      <c r="AM431" s="231"/>
      <c r="AN431" s="231"/>
      <c r="AO431" s="231"/>
    </row>
    <row r="432" spans="1:41" s="231" customFormat="1" ht="52">
      <c r="A432" s="350" t="s">
        <v>33</v>
      </c>
      <c r="B432" s="347" t="s">
        <v>573</v>
      </c>
      <c r="C432" s="347"/>
      <c r="D432" s="347"/>
      <c r="E432" s="346"/>
      <c r="F432" s="347"/>
      <c r="G432" s="346"/>
      <c r="H432" s="346"/>
      <c r="I432" s="346"/>
      <c r="J432" s="346"/>
      <c r="K432" s="346"/>
      <c r="L432" s="346"/>
      <c r="M432" s="346"/>
      <c r="N432" s="357"/>
      <c r="O432" s="357"/>
      <c r="P432" s="357"/>
      <c r="Q432" s="357"/>
      <c r="R432" s="346"/>
      <c r="S432" s="346"/>
      <c r="T432" s="346"/>
      <c r="U432" s="346"/>
      <c r="V432" s="346"/>
      <c r="W432" s="346">
        <v>1</v>
      </c>
      <c r="X432" s="346"/>
      <c r="Y432" s="346"/>
      <c r="Z432" s="346"/>
      <c r="AA432" s="346"/>
      <c r="AB432" s="346"/>
      <c r="AC432" s="346">
        <f t="shared" si="26"/>
        <v>1</v>
      </c>
      <c r="AD432" s="346" t="s">
        <v>51</v>
      </c>
      <c r="AE432" s="346" t="s">
        <v>104</v>
      </c>
      <c r="AF432" s="350" t="s">
        <v>31</v>
      </c>
      <c r="AG432" s="369">
        <v>0.3</v>
      </c>
      <c r="AH432" s="370">
        <v>0.3</v>
      </c>
      <c r="AI432" s="370">
        <v>0.39</v>
      </c>
      <c r="AJ432" s="358">
        <f t="shared" si="27"/>
        <v>360525</v>
      </c>
    </row>
    <row r="433" spans="1:36" s="231" customFormat="1" ht="26">
      <c r="A433" s="350" t="s">
        <v>34</v>
      </c>
      <c r="B433" s="347" t="s">
        <v>212</v>
      </c>
      <c r="C433" s="347"/>
      <c r="D433" s="347"/>
      <c r="E433" s="346"/>
      <c r="F433" s="347"/>
      <c r="G433" s="346"/>
      <c r="H433" s="346"/>
      <c r="I433" s="346"/>
      <c r="J433" s="346"/>
      <c r="K433" s="346"/>
      <c r="L433" s="346"/>
      <c r="M433" s="346"/>
      <c r="N433" s="357"/>
      <c r="O433" s="357"/>
      <c r="P433" s="357"/>
      <c r="Q433" s="357"/>
      <c r="R433" s="346"/>
      <c r="S433" s="346"/>
      <c r="T433" s="346"/>
      <c r="U433" s="346"/>
      <c r="V433" s="346"/>
      <c r="W433" s="346">
        <v>1</v>
      </c>
      <c r="X433" s="346"/>
      <c r="Y433" s="346"/>
      <c r="Z433" s="346"/>
      <c r="AA433" s="346"/>
      <c r="AB433" s="346"/>
      <c r="AC433" s="346">
        <f t="shared" si="26"/>
        <v>1</v>
      </c>
      <c r="AD433" s="346" t="s">
        <v>1</v>
      </c>
      <c r="AE433" s="346" t="s">
        <v>104</v>
      </c>
      <c r="AF433" s="350" t="s">
        <v>31</v>
      </c>
      <c r="AG433" s="369">
        <v>0.107</v>
      </c>
      <c r="AH433" s="370">
        <v>3.3000000000000002E-2</v>
      </c>
      <c r="AI433" s="370">
        <v>0.16700000000000001</v>
      </c>
      <c r="AJ433" s="358">
        <f t="shared" si="27"/>
        <v>360525</v>
      </c>
    </row>
    <row r="434" spans="1:36" s="231" customFormat="1" ht="26">
      <c r="A434" s="350" t="s">
        <v>154</v>
      </c>
      <c r="B434" s="347" t="s">
        <v>184</v>
      </c>
      <c r="C434" s="347"/>
      <c r="D434" s="347"/>
      <c r="E434" s="346"/>
      <c r="F434" s="347"/>
      <c r="G434" s="346"/>
      <c r="H434" s="346"/>
      <c r="I434" s="346"/>
      <c r="J434" s="346"/>
      <c r="K434" s="346"/>
      <c r="L434" s="346"/>
      <c r="M434" s="346"/>
      <c r="N434" s="357"/>
      <c r="O434" s="357"/>
      <c r="P434" s="357"/>
      <c r="Q434" s="357"/>
      <c r="R434" s="346"/>
      <c r="S434" s="346"/>
      <c r="T434" s="346"/>
      <c r="U434" s="346"/>
      <c r="V434" s="346"/>
      <c r="W434" s="346"/>
      <c r="X434" s="346"/>
      <c r="Y434" s="346"/>
      <c r="Z434" s="346"/>
      <c r="AA434" s="346"/>
      <c r="AB434" s="346"/>
      <c r="AC434" s="346">
        <f>SUM(E434:AB434)</f>
        <v>0</v>
      </c>
      <c r="AD434" s="346"/>
      <c r="AE434" s="346"/>
      <c r="AF434" s="350"/>
      <c r="AG434" s="346"/>
      <c r="AH434" s="358"/>
      <c r="AI434" s="347"/>
      <c r="AJ434" s="358">
        <f>(E434*E$6+F434*F$6+G434*G$6+H434*H$6+I434*I$6+J434*J$6+K434*K$6+L434*L$6+M434*M$6+N434*N$6+O434*O$6+P434*P$6+Q434*Q$6+R434*R$6+S434*S$6+T434*T$6+U434*U$6+V434*V$6+W434*W$6+X434*X$6+Y434*Y$6+Z434*Z$6+AA434*AA$6+AB434*AB$6)</f>
        <v>0</v>
      </c>
    </row>
    <row r="435" spans="1:36" s="410" customFormat="1" ht="14">
      <c r="A435" s="400" t="s">
        <v>213</v>
      </c>
      <c r="B435" s="365" t="s">
        <v>185</v>
      </c>
      <c r="C435" s="365"/>
      <c r="D435" s="365"/>
      <c r="E435" s="430"/>
      <c r="F435" s="365"/>
      <c r="G435" s="430"/>
      <c r="H435" s="430"/>
      <c r="I435" s="430"/>
      <c r="J435" s="430"/>
      <c r="K435" s="430"/>
      <c r="L435" s="430"/>
      <c r="M435" s="430"/>
      <c r="N435" s="427"/>
      <c r="O435" s="427"/>
      <c r="P435" s="427"/>
      <c r="Q435" s="427"/>
      <c r="R435" s="430"/>
      <c r="S435" s="430"/>
      <c r="T435" s="430"/>
      <c r="U435" s="430">
        <v>1</v>
      </c>
      <c r="V435" s="430"/>
      <c r="W435" s="430"/>
      <c r="X435" s="430"/>
      <c r="Y435" s="430"/>
      <c r="Z435" s="430"/>
      <c r="AA435" s="430"/>
      <c r="AB435" s="430"/>
      <c r="AC435" s="430">
        <f>SUM(E435:AB435)</f>
        <v>1</v>
      </c>
      <c r="AD435" s="430" t="s">
        <v>444</v>
      </c>
      <c r="AE435" s="430" t="s">
        <v>66</v>
      </c>
      <c r="AF435" s="400" t="s">
        <v>31</v>
      </c>
      <c r="AG435" s="452">
        <v>1.6E-2</v>
      </c>
      <c r="AH435" s="453">
        <v>0.02</v>
      </c>
      <c r="AI435" s="453">
        <v>2.4E-2</v>
      </c>
      <c r="AJ435" s="432">
        <f>(E435*E$6+F435*F$6+G435*G$6+H435*H$6+I435*I$6+J435*J$6+K435*K$6+L435*L$6+M435*M$6+N435*N$6+O435*O$6+P435*P$6+Q435*Q$6+R435*R$6+S435*S$6+T435*T$6+U435*U$6+V435*V$6+W435*W$6+X435*X$6+Y435*Y$6+Z435*Z$6+AA435*AA$6+AB435*AB$6)</f>
        <v>281209.5</v>
      </c>
    </row>
    <row r="436" spans="1:36" s="410" customFormat="1" ht="14">
      <c r="A436" s="400" t="s">
        <v>214</v>
      </c>
      <c r="B436" s="365" t="s">
        <v>186</v>
      </c>
      <c r="C436" s="365"/>
      <c r="D436" s="365"/>
      <c r="E436" s="430"/>
      <c r="F436" s="365"/>
      <c r="G436" s="430"/>
      <c r="H436" s="430"/>
      <c r="I436" s="430"/>
      <c r="J436" s="430"/>
      <c r="K436" s="430"/>
      <c r="L436" s="430"/>
      <c r="M436" s="430"/>
      <c r="N436" s="427"/>
      <c r="O436" s="427"/>
      <c r="P436" s="427"/>
      <c r="Q436" s="427"/>
      <c r="R436" s="430"/>
      <c r="S436" s="430"/>
      <c r="T436" s="430"/>
      <c r="U436" s="430">
        <v>1</v>
      </c>
      <c r="V436" s="430"/>
      <c r="W436" s="430"/>
      <c r="X436" s="430"/>
      <c r="Y436" s="430"/>
      <c r="Z436" s="430"/>
      <c r="AA436" s="430"/>
      <c r="AB436" s="430"/>
      <c r="AC436" s="430">
        <f>SUM(E436:AB436)</f>
        <v>1</v>
      </c>
      <c r="AD436" s="430" t="s">
        <v>444</v>
      </c>
      <c r="AE436" s="430" t="s">
        <v>66</v>
      </c>
      <c r="AF436" s="400" t="s">
        <v>31</v>
      </c>
      <c r="AG436" s="452">
        <v>8.0000000000000002E-3</v>
      </c>
      <c r="AH436" s="453">
        <v>0.01</v>
      </c>
      <c r="AI436" s="453">
        <v>1.2E-2</v>
      </c>
      <c r="AJ436" s="432">
        <f>(E436*E$6+F436*F$6+G436*G$6+H436*H$6+I436*I$6+J436*J$6+K436*K$6+L436*L$6+M436*M$6+N436*N$6+O436*O$6+P436*P$6+Q436*Q$6+R436*R$6+S436*S$6+T436*T$6+U436*U$6+V436*V$6+W436*W$6+X436*X$6+Y436*Y$6+Z436*Z$6+AA436*AA$6+AB436*AB$6)</f>
        <v>281209.5</v>
      </c>
    </row>
    <row r="437" spans="1:36" s="231" customFormat="1" ht="39">
      <c r="A437" s="350" t="s">
        <v>155</v>
      </c>
      <c r="B437" s="347" t="s">
        <v>187</v>
      </c>
      <c r="C437" s="347"/>
      <c r="D437" s="347"/>
      <c r="E437" s="346"/>
      <c r="F437" s="347"/>
      <c r="G437" s="346"/>
      <c r="H437" s="346"/>
      <c r="I437" s="346"/>
      <c r="J437" s="346"/>
      <c r="K437" s="346"/>
      <c r="L437" s="346"/>
      <c r="M437" s="346"/>
      <c r="N437" s="357"/>
      <c r="O437" s="357"/>
      <c r="P437" s="357"/>
      <c r="Q437" s="357"/>
      <c r="R437" s="346"/>
      <c r="S437" s="346"/>
      <c r="T437" s="346"/>
      <c r="U437" s="346">
        <v>1</v>
      </c>
      <c r="V437" s="346"/>
      <c r="W437" s="346"/>
      <c r="X437" s="346"/>
      <c r="Y437" s="346"/>
      <c r="Z437" s="346"/>
      <c r="AA437" s="346"/>
      <c r="AB437" s="346"/>
      <c r="AC437" s="346">
        <f>SUM(E437:AB437)</f>
        <v>1</v>
      </c>
      <c r="AD437" s="346" t="s">
        <v>444</v>
      </c>
      <c r="AE437" s="346" t="s">
        <v>66</v>
      </c>
      <c r="AF437" s="350" t="s">
        <v>31</v>
      </c>
      <c r="AG437" s="369">
        <v>4.0000000000000001E-3</v>
      </c>
      <c r="AH437" s="370">
        <v>5.0000000000000001E-3</v>
      </c>
      <c r="AI437" s="370">
        <v>6.0000000000000001E-3</v>
      </c>
      <c r="AJ437" s="358">
        <f>(E437*E$6+F437*F$6+G437*G$6+H437*H$6+I437*I$6+J437*J$6+K437*K$6+L437*L$6+M437*M$6+N437*N$6+O437*O$6+P437*P$6+Q437*Q$6+R437*R$6+S437*S$6+T437*T$6+U437*U$6+V437*V$6+W437*W$6+X437*X$6+Y437*Y$6+Z437*Z$6+AA437*AA$6+AB437*AB$6)</f>
        <v>281209.5</v>
      </c>
    </row>
    <row r="438" spans="1:36" s="231" customFormat="1" ht="14">
      <c r="A438" s="311">
        <v>6</v>
      </c>
      <c r="B438" s="312" t="s">
        <v>467</v>
      </c>
      <c r="C438" s="312"/>
      <c r="D438" s="312"/>
      <c r="E438" s="346"/>
      <c r="F438" s="347"/>
      <c r="G438" s="346"/>
      <c r="H438" s="346"/>
      <c r="I438" s="346"/>
      <c r="J438" s="346"/>
      <c r="K438" s="346"/>
      <c r="L438" s="346"/>
      <c r="M438" s="346"/>
      <c r="N438" s="357"/>
      <c r="O438" s="357"/>
      <c r="P438" s="357"/>
      <c r="Q438" s="357"/>
      <c r="R438" s="346"/>
      <c r="S438" s="346"/>
      <c r="T438" s="346"/>
      <c r="U438" s="346"/>
      <c r="V438" s="346"/>
      <c r="W438" s="346"/>
      <c r="X438" s="346"/>
      <c r="Y438" s="346"/>
      <c r="Z438" s="346"/>
      <c r="AA438" s="346"/>
      <c r="AB438" s="346"/>
      <c r="AC438" s="346"/>
      <c r="AD438" s="346"/>
      <c r="AE438" s="346"/>
      <c r="AF438" s="350"/>
      <c r="AG438" s="346"/>
      <c r="AH438" s="358"/>
      <c r="AI438" s="347"/>
      <c r="AJ438" s="358"/>
    </row>
    <row r="439" spans="1:36" s="410" customFormat="1" ht="14">
      <c r="A439" s="439">
        <v>6.1</v>
      </c>
      <c r="B439" s="440" t="s">
        <v>149</v>
      </c>
      <c r="C439" s="440"/>
      <c r="D439" s="440"/>
      <c r="E439" s="430"/>
      <c r="F439" s="365"/>
      <c r="G439" s="430"/>
      <c r="H439" s="430"/>
      <c r="I439" s="430"/>
      <c r="J439" s="430"/>
      <c r="K439" s="430"/>
      <c r="L439" s="430"/>
      <c r="M439" s="430"/>
      <c r="N439" s="427"/>
      <c r="O439" s="427"/>
      <c r="P439" s="427"/>
      <c r="Q439" s="427"/>
      <c r="R439" s="430"/>
      <c r="S439" s="430"/>
      <c r="T439" s="430"/>
      <c r="U439" s="430"/>
      <c r="V439" s="430">
        <v>1</v>
      </c>
      <c r="W439" s="430"/>
      <c r="X439" s="430"/>
      <c r="Y439" s="430"/>
      <c r="Z439" s="430"/>
      <c r="AA439" s="430"/>
      <c r="AB439" s="430"/>
      <c r="AC439" s="430">
        <f t="shared" si="26"/>
        <v>1</v>
      </c>
      <c r="AD439" s="430" t="s">
        <v>51</v>
      </c>
      <c r="AE439" s="430" t="s">
        <v>67</v>
      </c>
      <c r="AF439" s="304" t="s">
        <v>31</v>
      </c>
      <c r="AG439" s="439">
        <v>5.0000000000000001E-3</v>
      </c>
      <c r="AH439" s="439">
        <v>5.0000000000000001E-3</v>
      </c>
      <c r="AI439" s="439">
        <v>5.0000000000000001E-3</v>
      </c>
      <c r="AJ439" s="432">
        <f t="shared" si="27"/>
        <v>320867.25</v>
      </c>
    </row>
    <row r="440" spans="1:36" s="410" customFormat="1" ht="14">
      <c r="A440" s="439">
        <v>6.2</v>
      </c>
      <c r="B440" s="440" t="s">
        <v>151</v>
      </c>
      <c r="C440" s="440"/>
      <c r="D440" s="440"/>
      <c r="E440" s="430"/>
      <c r="F440" s="365"/>
      <c r="G440" s="430"/>
      <c r="H440" s="430"/>
      <c r="I440" s="430"/>
      <c r="J440" s="430"/>
      <c r="K440" s="430"/>
      <c r="L440" s="430"/>
      <c r="M440" s="430"/>
      <c r="N440" s="427"/>
      <c r="O440" s="427"/>
      <c r="P440" s="427"/>
      <c r="Q440" s="427"/>
      <c r="R440" s="430"/>
      <c r="S440" s="430"/>
      <c r="T440" s="430"/>
      <c r="U440" s="430"/>
      <c r="V440" s="430">
        <v>1</v>
      </c>
      <c r="W440" s="430"/>
      <c r="X440" s="430"/>
      <c r="Y440" s="430"/>
      <c r="Z440" s="430"/>
      <c r="AA440" s="430"/>
      <c r="AB440" s="430"/>
      <c r="AC440" s="430">
        <f t="shared" si="26"/>
        <v>1</v>
      </c>
      <c r="AD440" s="430" t="s">
        <v>51</v>
      </c>
      <c r="AE440" s="430" t="s">
        <v>67</v>
      </c>
      <c r="AF440" s="304" t="s">
        <v>31</v>
      </c>
      <c r="AG440" s="439">
        <v>4.0000000000000001E-3</v>
      </c>
      <c r="AH440" s="439">
        <v>4.0000000000000001E-3</v>
      </c>
      <c r="AI440" s="439">
        <v>4.0000000000000001E-3</v>
      </c>
      <c r="AJ440" s="432">
        <f t="shared" si="27"/>
        <v>320867.25</v>
      </c>
    </row>
    <row r="441" spans="1:36" s="231" customFormat="1" ht="104">
      <c r="A441" s="350" t="s">
        <v>157</v>
      </c>
      <c r="B441" s="347" t="s">
        <v>507</v>
      </c>
      <c r="C441" s="347"/>
      <c r="D441" s="347"/>
      <c r="E441" s="346"/>
      <c r="F441" s="347"/>
      <c r="G441" s="346"/>
      <c r="H441" s="346"/>
      <c r="I441" s="346"/>
      <c r="J441" s="346"/>
      <c r="K441" s="346"/>
      <c r="L441" s="346"/>
      <c r="M441" s="346"/>
      <c r="N441" s="357"/>
      <c r="O441" s="357"/>
      <c r="P441" s="357"/>
      <c r="Q441" s="357"/>
      <c r="R441" s="346"/>
      <c r="S441" s="346"/>
      <c r="T441" s="346"/>
      <c r="U441" s="346"/>
      <c r="V441" s="346">
        <v>1</v>
      </c>
      <c r="W441" s="346">
        <v>1</v>
      </c>
      <c r="X441" s="346"/>
      <c r="Y441" s="346"/>
      <c r="Z441" s="346"/>
      <c r="AA441" s="346"/>
      <c r="AB441" s="346"/>
      <c r="AC441" s="346">
        <f t="shared" si="26"/>
        <v>2</v>
      </c>
      <c r="AD441" s="346" t="s">
        <v>51</v>
      </c>
      <c r="AE441" s="346" t="s">
        <v>441</v>
      </c>
      <c r="AF441" s="350" t="s">
        <v>31</v>
      </c>
      <c r="AG441" s="357">
        <v>2</v>
      </c>
      <c r="AH441" s="460">
        <v>2</v>
      </c>
      <c r="AI441" s="460">
        <v>2.6</v>
      </c>
      <c r="AJ441" s="358">
        <f t="shared" si="27"/>
        <v>681392.25</v>
      </c>
    </row>
    <row r="442" spans="1:36" s="231" customFormat="1" ht="52">
      <c r="A442" s="311">
        <v>8</v>
      </c>
      <c r="B442" s="312" t="s">
        <v>485</v>
      </c>
      <c r="C442" s="312"/>
      <c r="D442" s="312"/>
      <c r="E442" s="346"/>
      <c r="F442" s="347"/>
      <c r="G442" s="346"/>
      <c r="H442" s="346"/>
      <c r="I442" s="346"/>
      <c r="J442" s="346"/>
      <c r="K442" s="346"/>
      <c r="L442" s="346"/>
      <c r="M442" s="346"/>
      <c r="N442" s="357"/>
      <c r="O442" s="357"/>
      <c r="P442" s="357"/>
      <c r="Q442" s="357"/>
      <c r="R442" s="346"/>
      <c r="S442" s="346"/>
      <c r="T442" s="346"/>
      <c r="U442" s="346"/>
      <c r="V442" s="346"/>
      <c r="W442" s="346">
        <v>1</v>
      </c>
      <c r="X442" s="346"/>
      <c r="Y442" s="346"/>
      <c r="Z442" s="346"/>
      <c r="AA442" s="346"/>
      <c r="AB442" s="346"/>
      <c r="AC442" s="346">
        <f t="shared" si="26"/>
        <v>1</v>
      </c>
      <c r="AD442" s="346" t="s">
        <v>51</v>
      </c>
      <c r="AE442" s="346" t="s">
        <v>104</v>
      </c>
      <c r="AF442" s="342" t="s">
        <v>31</v>
      </c>
      <c r="AG442" s="415">
        <v>0.2</v>
      </c>
      <c r="AH442" s="415">
        <v>0.2</v>
      </c>
      <c r="AI442" s="415">
        <v>0.26</v>
      </c>
      <c r="AJ442" s="358">
        <f t="shared" si="27"/>
        <v>360525</v>
      </c>
    </row>
    <row r="443" spans="1:36" s="231" customFormat="1" ht="26">
      <c r="A443" s="311">
        <v>9</v>
      </c>
      <c r="B443" s="366" t="s">
        <v>478</v>
      </c>
      <c r="C443" s="366"/>
      <c r="D443" s="366"/>
      <c r="E443" s="346"/>
      <c r="F443" s="347"/>
      <c r="G443" s="346"/>
      <c r="H443" s="346"/>
      <c r="I443" s="346"/>
      <c r="J443" s="346"/>
      <c r="K443" s="346"/>
      <c r="L443" s="346"/>
      <c r="M443" s="346"/>
      <c r="N443" s="357"/>
      <c r="O443" s="357"/>
      <c r="P443" s="357"/>
      <c r="Q443" s="357"/>
      <c r="R443" s="346"/>
      <c r="S443" s="346"/>
      <c r="T443" s="346"/>
      <c r="U443" s="346"/>
      <c r="V443" s="346"/>
      <c r="W443" s="346">
        <v>1</v>
      </c>
      <c r="X443" s="346"/>
      <c r="Y443" s="346"/>
      <c r="Z443" s="346"/>
      <c r="AA443" s="346"/>
      <c r="AB443" s="346"/>
      <c r="AC443" s="346">
        <f t="shared" si="26"/>
        <v>1</v>
      </c>
      <c r="AD443" s="346" t="s">
        <v>51</v>
      </c>
      <c r="AE443" s="346" t="s">
        <v>104</v>
      </c>
      <c r="AF443" s="342" t="s">
        <v>31</v>
      </c>
      <c r="AG443" s="415">
        <v>0.2</v>
      </c>
      <c r="AH443" s="415">
        <v>0.2</v>
      </c>
      <c r="AI443" s="415">
        <v>0.26</v>
      </c>
      <c r="AJ443" s="358">
        <f t="shared" si="27"/>
        <v>360525</v>
      </c>
    </row>
    <row r="444" spans="1:36" s="231" customFormat="1" ht="78">
      <c r="A444" s="311">
        <v>10</v>
      </c>
      <c r="B444" s="312" t="s">
        <v>486</v>
      </c>
      <c r="C444" s="312"/>
      <c r="D444" s="312"/>
      <c r="E444" s="346"/>
      <c r="F444" s="347"/>
      <c r="G444" s="346"/>
      <c r="H444" s="346"/>
      <c r="I444" s="346"/>
      <c r="J444" s="346"/>
      <c r="K444" s="346"/>
      <c r="L444" s="346"/>
      <c r="M444" s="346"/>
      <c r="N444" s="357"/>
      <c r="O444" s="357"/>
      <c r="P444" s="357"/>
      <c r="Q444" s="357"/>
      <c r="R444" s="346"/>
      <c r="S444" s="346"/>
      <c r="T444" s="346"/>
      <c r="U444" s="346"/>
      <c r="V444" s="346"/>
      <c r="W444" s="346">
        <v>1</v>
      </c>
      <c r="X444" s="346"/>
      <c r="Y444" s="346"/>
      <c r="Z444" s="346"/>
      <c r="AA444" s="346"/>
      <c r="AB444" s="346"/>
      <c r="AC444" s="346">
        <f t="shared" si="26"/>
        <v>1</v>
      </c>
      <c r="AD444" s="346" t="s">
        <v>51</v>
      </c>
      <c r="AE444" s="346" t="s">
        <v>104</v>
      </c>
      <c r="AF444" s="342" t="s">
        <v>31</v>
      </c>
      <c r="AG444" s="461">
        <v>1</v>
      </c>
      <c r="AH444" s="461">
        <v>1</v>
      </c>
      <c r="AI444" s="461">
        <v>1.2</v>
      </c>
      <c r="AJ444" s="358">
        <f t="shared" si="27"/>
        <v>360525</v>
      </c>
    </row>
    <row r="445" spans="1:36" s="231" customFormat="1" ht="52">
      <c r="A445" s="311">
        <v>11</v>
      </c>
      <c r="B445" s="312" t="s">
        <v>562</v>
      </c>
      <c r="C445" s="312"/>
      <c r="D445" s="312"/>
      <c r="E445" s="346"/>
      <c r="F445" s="347"/>
      <c r="G445" s="346"/>
      <c r="H445" s="346"/>
      <c r="I445" s="346"/>
      <c r="J445" s="346"/>
      <c r="K445" s="346"/>
      <c r="L445" s="346"/>
      <c r="M445" s="346"/>
      <c r="N445" s="357"/>
      <c r="O445" s="357"/>
      <c r="P445" s="357"/>
      <c r="Q445" s="357"/>
      <c r="R445" s="346"/>
      <c r="S445" s="346"/>
      <c r="T445" s="346"/>
      <c r="U445" s="346"/>
      <c r="V445" s="346"/>
      <c r="W445" s="346">
        <v>1</v>
      </c>
      <c r="X445" s="346"/>
      <c r="Y445" s="346"/>
      <c r="Z445" s="346"/>
      <c r="AA445" s="346"/>
      <c r="AB445" s="346"/>
      <c r="AC445" s="346">
        <f t="shared" si="26"/>
        <v>1</v>
      </c>
      <c r="AD445" s="346" t="s">
        <v>51</v>
      </c>
      <c r="AE445" s="346" t="s">
        <v>104</v>
      </c>
      <c r="AF445" s="342" t="s">
        <v>31</v>
      </c>
      <c r="AG445" s="461">
        <v>1</v>
      </c>
      <c r="AH445" s="461">
        <v>1</v>
      </c>
      <c r="AI445" s="461">
        <v>1.2</v>
      </c>
      <c r="AJ445" s="358">
        <f t="shared" si="27"/>
        <v>360525</v>
      </c>
    </row>
    <row r="446" spans="1:36" s="231" customFormat="1" ht="26">
      <c r="A446" s="350" t="s">
        <v>179</v>
      </c>
      <c r="B446" s="347" t="s">
        <v>216</v>
      </c>
      <c r="C446" s="347"/>
      <c r="D446" s="347"/>
      <c r="E446" s="346"/>
      <c r="F446" s="347"/>
      <c r="G446" s="346"/>
      <c r="H446" s="346"/>
      <c r="I446" s="346"/>
      <c r="J446" s="346"/>
      <c r="K446" s="346"/>
      <c r="L446" s="346"/>
      <c r="M446" s="346"/>
      <c r="N446" s="357"/>
      <c r="O446" s="357"/>
      <c r="P446" s="357"/>
      <c r="Q446" s="357"/>
      <c r="R446" s="346"/>
      <c r="S446" s="346"/>
      <c r="T446" s="346"/>
      <c r="U446" s="346"/>
      <c r="V446" s="346"/>
      <c r="W446" s="346">
        <v>1</v>
      </c>
      <c r="X446" s="346"/>
      <c r="Y446" s="346"/>
      <c r="Z446" s="346"/>
      <c r="AA446" s="346"/>
      <c r="AB446" s="346"/>
      <c r="AC446" s="346">
        <f t="shared" si="26"/>
        <v>1</v>
      </c>
      <c r="AD446" s="346" t="s">
        <v>1</v>
      </c>
      <c r="AE446" s="346" t="s">
        <v>104</v>
      </c>
      <c r="AF446" s="350" t="s">
        <v>31</v>
      </c>
      <c r="AG446" s="369">
        <v>3.0000000000000001E-3</v>
      </c>
      <c r="AH446" s="370">
        <v>3.0000000000000001E-3</v>
      </c>
      <c r="AI446" s="370">
        <v>3.0000000000000001E-3</v>
      </c>
      <c r="AJ446" s="358">
        <f t="shared" si="27"/>
        <v>360525</v>
      </c>
    </row>
    <row r="447" spans="1:36" s="231" customFormat="1" ht="39">
      <c r="A447" s="350" t="s">
        <v>180</v>
      </c>
      <c r="B447" s="347" t="s">
        <v>493</v>
      </c>
      <c r="C447" s="347"/>
      <c r="D447" s="347"/>
      <c r="E447" s="346"/>
      <c r="F447" s="347"/>
      <c r="G447" s="346"/>
      <c r="H447" s="346"/>
      <c r="I447" s="346"/>
      <c r="J447" s="346"/>
      <c r="K447" s="346"/>
      <c r="L447" s="346"/>
      <c r="M447" s="346"/>
      <c r="N447" s="357"/>
      <c r="O447" s="357"/>
      <c r="P447" s="357"/>
      <c r="Q447" s="357"/>
      <c r="R447" s="346"/>
      <c r="S447" s="346"/>
      <c r="T447" s="346"/>
      <c r="U447" s="346"/>
      <c r="V447" s="346"/>
      <c r="W447" s="346"/>
      <c r="X447" s="346"/>
      <c r="Y447" s="346"/>
      <c r="Z447" s="346"/>
      <c r="AA447" s="346"/>
      <c r="AB447" s="346"/>
      <c r="AC447" s="346">
        <f t="shared" si="26"/>
        <v>0</v>
      </c>
      <c r="AD447" s="346"/>
      <c r="AE447" s="346"/>
      <c r="AF447" s="350"/>
      <c r="AG447" s="346"/>
      <c r="AH447" s="358"/>
      <c r="AI447" s="347"/>
      <c r="AJ447" s="358">
        <f t="shared" si="27"/>
        <v>0</v>
      </c>
    </row>
    <row r="448" spans="1:36" s="410" customFormat="1" ht="14">
      <c r="A448" s="400" t="s">
        <v>221</v>
      </c>
      <c r="B448" s="365" t="s">
        <v>163</v>
      </c>
      <c r="C448" s="365"/>
      <c r="D448" s="365"/>
      <c r="E448" s="430"/>
      <c r="F448" s="365"/>
      <c r="G448" s="430"/>
      <c r="H448" s="430"/>
      <c r="I448" s="430"/>
      <c r="J448" s="430"/>
      <c r="K448" s="430"/>
      <c r="L448" s="430"/>
      <c r="M448" s="430"/>
      <c r="N448" s="427"/>
      <c r="O448" s="427"/>
      <c r="P448" s="427"/>
      <c r="Q448" s="427"/>
      <c r="R448" s="430"/>
      <c r="S448" s="430"/>
      <c r="T448" s="430"/>
      <c r="U448" s="430"/>
      <c r="V448" s="430">
        <v>1</v>
      </c>
      <c r="W448" s="430"/>
      <c r="X448" s="430"/>
      <c r="Y448" s="430"/>
      <c r="Z448" s="430"/>
      <c r="AA448" s="430"/>
      <c r="AB448" s="430"/>
      <c r="AC448" s="430">
        <f t="shared" si="26"/>
        <v>1</v>
      </c>
      <c r="AD448" s="430" t="s">
        <v>51</v>
      </c>
      <c r="AE448" s="430" t="s">
        <v>67</v>
      </c>
      <c r="AF448" s="400" t="s">
        <v>31</v>
      </c>
      <c r="AG448" s="452">
        <v>0.05</v>
      </c>
      <c r="AH448" s="453">
        <v>0</v>
      </c>
      <c r="AI448" s="453">
        <v>0.05</v>
      </c>
      <c r="AJ448" s="432">
        <f t="shared" si="27"/>
        <v>320867.25</v>
      </c>
    </row>
    <row r="449" spans="1:41" s="410" customFormat="1" ht="14">
      <c r="A449" s="400" t="s">
        <v>222</v>
      </c>
      <c r="B449" s="365" t="s">
        <v>164</v>
      </c>
      <c r="C449" s="365"/>
      <c r="D449" s="365"/>
      <c r="E449" s="430"/>
      <c r="F449" s="365"/>
      <c r="G449" s="430"/>
      <c r="H449" s="430"/>
      <c r="I449" s="430"/>
      <c r="J449" s="430"/>
      <c r="K449" s="430"/>
      <c r="L449" s="430"/>
      <c r="M449" s="430"/>
      <c r="N449" s="427"/>
      <c r="O449" s="427"/>
      <c r="P449" s="427"/>
      <c r="Q449" s="427"/>
      <c r="R449" s="430"/>
      <c r="S449" s="430"/>
      <c r="T449" s="430"/>
      <c r="U449" s="430"/>
      <c r="V449" s="430">
        <v>1</v>
      </c>
      <c r="W449" s="430"/>
      <c r="X449" s="430"/>
      <c r="Y449" s="430"/>
      <c r="Z449" s="430"/>
      <c r="AA449" s="430"/>
      <c r="AB449" s="430"/>
      <c r="AC449" s="430">
        <f t="shared" si="26"/>
        <v>1</v>
      </c>
      <c r="AD449" s="430" t="s">
        <v>51</v>
      </c>
      <c r="AE449" s="430" t="s">
        <v>67</v>
      </c>
      <c r="AF449" s="400" t="s">
        <v>31</v>
      </c>
      <c r="AG449" s="452">
        <v>0.1</v>
      </c>
      <c r="AH449" s="453">
        <v>0</v>
      </c>
      <c r="AI449" s="453">
        <v>0.1</v>
      </c>
      <c r="AJ449" s="432">
        <f t="shared" si="27"/>
        <v>320867.25</v>
      </c>
    </row>
    <row r="450" spans="1:41" s="229" customFormat="1" ht="26">
      <c r="A450" s="446">
        <v>14</v>
      </c>
      <c r="B450" s="839" t="s">
        <v>469</v>
      </c>
      <c r="C450" s="607"/>
      <c r="D450" s="607"/>
      <c r="E450" s="278"/>
      <c r="F450" s="279"/>
      <c r="G450" s="278"/>
      <c r="H450" s="278"/>
      <c r="I450" s="278"/>
      <c r="J450" s="278"/>
      <c r="K450" s="278"/>
      <c r="L450" s="278"/>
      <c r="M450" s="278"/>
      <c r="N450" s="301"/>
      <c r="O450" s="301"/>
      <c r="P450" s="301"/>
      <c r="Q450" s="301"/>
      <c r="R450" s="278"/>
      <c r="S450" s="278"/>
      <c r="T450" s="278"/>
      <c r="U450" s="278"/>
      <c r="V450" s="278"/>
      <c r="W450" s="278"/>
      <c r="X450" s="278"/>
      <c r="Y450" s="278"/>
      <c r="Z450" s="278"/>
      <c r="AA450" s="278"/>
      <c r="AB450" s="278"/>
      <c r="AC450" s="278"/>
      <c r="AD450" s="278"/>
      <c r="AE450" s="278"/>
      <c r="AF450" s="342"/>
      <c r="AG450" s="369"/>
      <c r="AH450" s="369"/>
      <c r="AI450" s="369"/>
      <c r="AJ450" s="351"/>
    </row>
    <row r="451" spans="1:41" s="230" customFormat="1" ht="18" customHeight="1">
      <c r="A451" s="439">
        <v>14.1</v>
      </c>
      <c r="B451" s="440" t="s">
        <v>470</v>
      </c>
      <c r="C451" s="440"/>
      <c r="D451" s="440"/>
      <c r="E451" s="424"/>
      <c r="F451" s="425"/>
      <c r="G451" s="424"/>
      <c r="H451" s="424"/>
      <c r="I451" s="424"/>
      <c r="J451" s="424"/>
      <c r="K451" s="424"/>
      <c r="L451" s="424"/>
      <c r="M451" s="424"/>
      <c r="N451" s="426"/>
      <c r="O451" s="426"/>
      <c r="P451" s="426"/>
      <c r="Q451" s="426"/>
      <c r="R451" s="424"/>
      <c r="S451" s="424"/>
      <c r="T451" s="424"/>
      <c r="U451" s="424"/>
      <c r="V451" s="424"/>
      <c r="W451" s="424">
        <v>1</v>
      </c>
      <c r="X451" s="424"/>
      <c r="Y451" s="424"/>
      <c r="Z451" s="424"/>
      <c r="AA451" s="424"/>
      <c r="AB451" s="424"/>
      <c r="AC451" s="424">
        <f t="shared" si="26"/>
        <v>1</v>
      </c>
      <c r="AD451" s="424" t="s">
        <v>51</v>
      </c>
      <c r="AE451" s="439" t="s">
        <v>104</v>
      </c>
      <c r="AF451" s="304" t="s">
        <v>31</v>
      </c>
      <c r="AG451" s="451">
        <v>0.03</v>
      </c>
      <c r="AH451" s="451">
        <v>0.03</v>
      </c>
      <c r="AI451" s="451">
        <v>0.03</v>
      </c>
      <c r="AJ451" s="428">
        <f t="shared" si="27"/>
        <v>360525</v>
      </c>
    </row>
    <row r="452" spans="1:41" s="230" customFormat="1" ht="18" customHeight="1">
      <c r="A452" s="439">
        <v>14.2</v>
      </c>
      <c r="B452" s="440" t="s">
        <v>471</v>
      </c>
      <c r="C452" s="440"/>
      <c r="D452" s="440"/>
      <c r="E452" s="424"/>
      <c r="F452" s="425"/>
      <c r="G452" s="424"/>
      <c r="H452" s="424"/>
      <c r="I452" s="424"/>
      <c r="J452" s="424"/>
      <c r="K452" s="424"/>
      <c r="L452" s="424"/>
      <c r="M452" s="424"/>
      <c r="N452" s="426"/>
      <c r="O452" s="426"/>
      <c r="P452" s="426"/>
      <c r="Q452" s="426"/>
      <c r="R452" s="424"/>
      <c r="S452" s="424"/>
      <c r="T452" s="424"/>
      <c r="U452" s="424"/>
      <c r="V452" s="424"/>
      <c r="W452" s="424">
        <v>1</v>
      </c>
      <c r="X452" s="424"/>
      <c r="Y452" s="424"/>
      <c r="Z452" s="424"/>
      <c r="AA452" s="424"/>
      <c r="AB452" s="424"/>
      <c r="AC452" s="424">
        <f t="shared" si="26"/>
        <v>1</v>
      </c>
      <c r="AD452" s="424" t="s">
        <v>51</v>
      </c>
      <c r="AE452" s="439" t="s">
        <v>104</v>
      </c>
      <c r="AF452" s="304" t="s">
        <v>31</v>
      </c>
      <c r="AG452" s="451">
        <v>0.04</v>
      </c>
      <c r="AH452" s="451">
        <v>0.04</v>
      </c>
      <c r="AI452" s="451">
        <v>0.04</v>
      </c>
      <c r="AJ452" s="428">
        <f t="shared" si="27"/>
        <v>360525</v>
      </c>
    </row>
    <row r="453" spans="1:41" s="229" customFormat="1" ht="26">
      <c r="A453" s="311">
        <v>15</v>
      </c>
      <c r="B453" s="312" t="s">
        <v>472</v>
      </c>
      <c r="C453" s="312"/>
      <c r="D453" s="312"/>
      <c r="E453" s="278"/>
      <c r="F453" s="279"/>
      <c r="G453" s="278"/>
      <c r="H453" s="278"/>
      <c r="I453" s="278"/>
      <c r="J453" s="278"/>
      <c r="K453" s="278"/>
      <c r="L453" s="278"/>
      <c r="M453" s="278"/>
      <c r="N453" s="301"/>
      <c r="O453" s="301"/>
      <c r="P453" s="301"/>
      <c r="Q453" s="301"/>
      <c r="R453" s="278"/>
      <c r="S453" s="278"/>
      <c r="T453" s="278"/>
      <c r="U453" s="278"/>
      <c r="V453" s="278"/>
      <c r="W453" s="278"/>
      <c r="X453" s="278"/>
      <c r="Y453" s="278"/>
      <c r="Z453" s="278"/>
      <c r="AA453" s="278"/>
      <c r="AB453" s="278"/>
      <c r="AC453" s="278"/>
      <c r="AD453" s="278"/>
      <c r="AE453" s="459"/>
      <c r="AF453" s="342"/>
      <c r="AG453" s="459"/>
      <c r="AH453" s="459"/>
      <c r="AI453" s="459"/>
      <c r="AJ453" s="351"/>
    </row>
    <row r="454" spans="1:41" s="230" customFormat="1" ht="17.25" customHeight="1">
      <c r="A454" s="439">
        <v>15.1</v>
      </c>
      <c r="B454" s="440" t="s">
        <v>470</v>
      </c>
      <c r="C454" s="440"/>
      <c r="D454" s="440"/>
      <c r="E454" s="424"/>
      <c r="F454" s="425"/>
      <c r="G454" s="424"/>
      <c r="H454" s="424"/>
      <c r="I454" s="424"/>
      <c r="J454" s="424"/>
      <c r="K454" s="424"/>
      <c r="L454" s="424"/>
      <c r="M454" s="424"/>
      <c r="N454" s="426"/>
      <c r="O454" s="426"/>
      <c r="P454" s="426"/>
      <c r="Q454" s="426"/>
      <c r="R454" s="424"/>
      <c r="S454" s="424"/>
      <c r="T454" s="424"/>
      <c r="U454" s="424"/>
      <c r="V454" s="424">
        <v>1</v>
      </c>
      <c r="W454" s="424"/>
      <c r="X454" s="424"/>
      <c r="Y454" s="424"/>
      <c r="Z454" s="424"/>
      <c r="AA454" s="424"/>
      <c r="AB454" s="424"/>
      <c r="AC454" s="424">
        <f t="shared" si="26"/>
        <v>1</v>
      </c>
      <c r="AD454" s="424" t="s">
        <v>51</v>
      </c>
      <c r="AE454" s="439" t="s">
        <v>67</v>
      </c>
      <c r="AF454" s="304" t="s">
        <v>31</v>
      </c>
      <c r="AG454" s="451">
        <v>0.04</v>
      </c>
      <c r="AH454" s="451">
        <v>0.04</v>
      </c>
      <c r="AI454" s="451">
        <v>0.04</v>
      </c>
      <c r="AJ454" s="428">
        <f t="shared" si="27"/>
        <v>320867.25</v>
      </c>
    </row>
    <row r="455" spans="1:41" s="230" customFormat="1" ht="17.25" customHeight="1">
      <c r="A455" s="439">
        <v>15.2</v>
      </c>
      <c r="B455" s="440" t="s">
        <v>471</v>
      </c>
      <c r="C455" s="440"/>
      <c r="D455" s="440"/>
      <c r="E455" s="424"/>
      <c r="F455" s="425"/>
      <c r="G455" s="424"/>
      <c r="H455" s="424"/>
      <c r="I455" s="424"/>
      <c r="J455" s="424"/>
      <c r="K455" s="424"/>
      <c r="L455" s="424"/>
      <c r="M455" s="424"/>
      <c r="N455" s="426"/>
      <c r="O455" s="426"/>
      <c r="P455" s="426"/>
      <c r="Q455" s="426"/>
      <c r="R455" s="424"/>
      <c r="S455" s="424"/>
      <c r="T455" s="424"/>
      <c r="U455" s="424"/>
      <c r="V455" s="424">
        <v>1</v>
      </c>
      <c r="W455" s="424"/>
      <c r="X455" s="424"/>
      <c r="Y455" s="424"/>
      <c r="Z455" s="424"/>
      <c r="AA455" s="424"/>
      <c r="AB455" s="424"/>
      <c r="AC455" s="424">
        <f t="shared" si="26"/>
        <v>1</v>
      </c>
      <c r="AD455" s="424" t="s">
        <v>51</v>
      </c>
      <c r="AE455" s="439" t="s">
        <v>67</v>
      </c>
      <c r="AF455" s="304" t="s">
        <v>31</v>
      </c>
      <c r="AG455" s="451">
        <v>0.03</v>
      </c>
      <c r="AH455" s="451">
        <v>0.03</v>
      </c>
      <c r="AI455" s="451">
        <v>0.03</v>
      </c>
      <c r="AJ455" s="428">
        <f t="shared" si="27"/>
        <v>320867.25</v>
      </c>
    </row>
    <row r="456" spans="1:41" s="231" customFormat="1" ht="26">
      <c r="A456" s="350" t="s">
        <v>190</v>
      </c>
      <c r="B456" s="347" t="s">
        <v>172</v>
      </c>
      <c r="C456" s="347"/>
      <c r="D456" s="347"/>
      <c r="E456" s="346"/>
      <c r="F456" s="347"/>
      <c r="G456" s="346"/>
      <c r="H456" s="346"/>
      <c r="I456" s="346"/>
      <c r="J456" s="346"/>
      <c r="K456" s="346"/>
      <c r="L456" s="346"/>
      <c r="M456" s="346"/>
      <c r="N456" s="357"/>
      <c r="O456" s="357"/>
      <c r="P456" s="357"/>
      <c r="Q456" s="357"/>
      <c r="R456" s="346"/>
      <c r="S456" s="346"/>
      <c r="T456" s="346"/>
      <c r="U456" s="346"/>
      <c r="V456" s="346"/>
      <c r="W456" s="346">
        <v>1</v>
      </c>
      <c r="X456" s="346"/>
      <c r="Y456" s="346"/>
      <c r="Z456" s="346"/>
      <c r="AA456" s="346"/>
      <c r="AB456" s="346"/>
      <c r="AC456" s="346">
        <f t="shared" si="26"/>
        <v>1</v>
      </c>
      <c r="AD456" s="346" t="s">
        <v>1</v>
      </c>
      <c r="AE456" s="346" t="s">
        <v>104</v>
      </c>
      <c r="AF456" s="350" t="s">
        <v>31</v>
      </c>
      <c r="AG456" s="346">
        <v>3.3000000000000002E-2</v>
      </c>
      <c r="AH456" s="358">
        <v>3.3000000000000002E-2</v>
      </c>
      <c r="AI456" s="347">
        <v>3.3000000000000002E-2</v>
      </c>
      <c r="AJ456" s="358">
        <f t="shared" si="27"/>
        <v>360525</v>
      </c>
    </row>
    <row r="457" spans="1:41" s="231" customFormat="1" ht="14">
      <c r="A457" s="350" t="s">
        <v>205</v>
      </c>
      <c r="B457" s="347" t="s">
        <v>174</v>
      </c>
      <c r="C457" s="347"/>
      <c r="D457" s="347"/>
      <c r="E457" s="346"/>
      <c r="F457" s="347"/>
      <c r="G457" s="346"/>
      <c r="H457" s="346"/>
      <c r="I457" s="346"/>
      <c r="J457" s="346"/>
      <c r="K457" s="346"/>
      <c r="L457" s="346"/>
      <c r="M457" s="346"/>
      <c r="N457" s="357"/>
      <c r="O457" s="357"/>
      <c r="P457" s="357"/>
      <c r="Q457" s="357"/>
      <c r="R457" s="346"/>
      <c r="S457" s="346"/>
      <c r="T457" s="346"/>
      <c r="U457" s="346"/>
      <c r="V457" s="346">
        <v>1</v>
      </c>
      <c r="W457" s="346"/>
      <c r="X457" s="346"/>
      <c r="Y457" s="346"/>
      <c r="Z457" s="346"/>
      <c r="AA457" s="346"/>
      <c r="AB457" s="346"/>
      <c r="AC457" s="346">
        <f t="shared" si="26"/>
        <v>1</v>
      </c>
      <c r="AD457" s="346"/>
      <c r="AE457" s="346"/>
      <c r="AF457" s="350"/>
      <c r="AG457" s="346"/>
      <c r="AH457" s="358"/>
      <c r="AI457" s="347"/>
      <c r="AJ457" s="358">
        <f t="shared" si="27"/>
        <v>320867.25</v>
      </c>
    </row>
    <row r="458" spans="1:41" s="410" customFormat="1" ht="14">
      <c r="A458" s="400" t="s">
        <v>206</v>
      </c>
      <c r="B458" s="365" t="s">
        <v>176</v>
      </c>
      <c r="C458" s="365"/>
      <c r="D458" s="365"/>
      <c r="E458" s="346"/>
      <c r="F458" s="347"/>
      <c r="G458" s="346"/>
      <c r="H458" s="346"/>
      <c r="I458" s="346"/>
      <c r="J458" s="346"/>
      <c r="K458" s="346"/>
      <c r="L458" s="346"/>
      <c r="M458" s="346"/>
      <c r="N458" s="357"/>
      <c r="O458" s="357"/>
      <c r="P458" s="357"/>
      <c r="Q458" s="357"/>
      <c r="R458" s="346"/>
      <c r="S458" s="346"/>
      <c r="T458" s="346"/>
      <c r="U458" s="346"/>
      <c r="V458" s="346">
        <v>1</v>
      </c>
      <c r="W458" s="346"/>
      <c r="X458" s="346"/>
      <c r="Y458" s="346"/>
      <c r="Z458" s="346"/>
      <c r="AA458" s="346"/>
      <c r="AB458" s="346"/>
      <c r="AC458" s="346">
        <f t="shared" si="26"/>
        <v>1</v>
      </c>
      <c r="AD458" s="346" t="s">
        <v>141</v>
      </c>
      <c r="AE458" s="346" t="s">
        <v>67</v>
      </c>
      <c r="AF458" s="350" t="s">
        <v>31</v>
      </c>
      <c r="AG458" s="369">
        <v>0.1</v>
      </c>
      <c r="AH458" s="370">
        <v>0.1</v>
      </c>
      <c r="AI458" s="370">
        <v>0.1</v>
      </c>
      <c r="AJ458" s="358">
        <f t="shared" si="27"/>
        <v>320867.25</v>
      </c>
      <c r="AL458" s="231"/>
      <c r="AM458" s="231"/>
      <c r="AN458" s="231"/>
      <c r="AO458" s="231"/>
    </row>
    <row r="459" spans="1:41" s="411" customFormat="1" ht="14">
      <c r="A459" s="400" t="s">
        <v>207</v>
      </c>
      <c r="B459" s="365" t="s">
        <v>177</v>
      </c>
      <c r="C459" s="365"/>
      <c r="D459" s="365"/>
      <c r="E459" s="346"/>
      <c r="F459" s="347"/>
      <c r="G459" s="346"/>
      <c r="H459" s="346"/>
      <c r="I459" s="346"/>
      <c r="J459" s="346"/>
      <c r="K459" s="346"/>
      <c r="L459" s="346"/>
      <c r="M459" s="346"/>
      <c r="N459" s="357"/>
      <c r="O459" s="357"/>
      <c r="P459" s="357"/>
      <c r="Q459" s="357"/>
      <c r="R459" s="346"/>
      <c r="S459" s="346"/>
      <c r="T459" s="346"/>
      <c r="U459" s="346"/>
      <c r="V459" s="346">
        <v>1</v>
      </c>
      <c r="W459" s="346"/>
      <c r="X459" s="346"/>
      <c r="Y459" s="346"/>
      <c r="Z459" s="346"/>
      <c r="AA459" s="346"/>
      <c r="AB459" s="346"/>
      <c r="AC459" s="346">
        <f t="shared" si="26"/>
        <v>1</v>
      </c>
      <c r="AD459" s="346" t="s">
        <v>141</v>
      </c>
      <c r="AE459" s="346" t="s">
        <v>67</v>
      </c>
      <c r="AF459" s="350" t="s">
        <v>31</v>
      </c>
      <c r="AG459" s="369">
        <v>0.15</v>
      </c>
      <c r="AH459" s="370">
        <v>0.2</v>
      </c>
      <c r="AI459" s="370">
        <v>0.2</v>
      </c>
      <c r="AJ459" s="358">
        <f t="shared" si="27"/>
        <v>320867.25</v>
      </c>
      <c r="AK459" s="410"/>
      <c r="AL459" s="231"/>
      <c r="AM459" s="231"/>
      <c r="AN459" s="231"/>
      <c r="AO459" s="231"/>
    </row>
    <row r="460" spans="1:41" s="411" customFormat="1" ht="26">
      <c r="A460" s="350" t="s">
        <v>264</v>
      </c>
      <c r="B460" s="347" t="s">
        <v>494</v>
      </c>
      <c r="C460" s="347"/>
      <c r="D460" s="347"/>
      <c r="E460" s="346"/>
      <c r="F460" s="347"/>
      <c r="G460" s="346"/>
      <c r="H460" s="346"/>
      <c r="I460" s="346"/>
      <c r="J460" s="346"/>
      <c r="K460" s="346"/>
      <c r="L460" s="346"/>
      <c r="M460" s="346"/>
      <c r="N460" s="357"/>
      <c r="O460" s="357"/>
      <c r="P460" s="357"/>
      <c r="Q460" s="357"/>
      <c r="R460" s="346"/>
      <c r="S460" s="346"/>
      <c r="T460" s="346"/>
      <c r="U460" s="346"/>
      <c r="V460" s="346">
        <v>1</v>
      </c>
      <c r="W460" s="346"/>
      <c r="X460" s="346"/>
      <c r="Y460" s="346"/>
      <c r="Z460" s="346"/>
      <c r="AA460" s="346"/>
      <c r="AB460" s="346"/>
      <c r="AC460" s="346">
        <f t="shared" si="26"/>
        <v>1</v>
      </c>
      <c r="AD460" s="346" t="s">
        <v>141</v>
      </c>
      <c r="AE460" s="346" t="s">
        <v>67</v>
      </c>
      <c r="AF460" s="350" t="s">
        <v>31</v>
      </c>
      <c r="AG460" s="369">
        <v>0.1</v>
      </c>
      <c r="AH460" s="370">
        <v>0.1</v>
      </c>
      <c r="AI460" s="370">
        <v>0.1</v>
      </c>
      <c r="AJ460" s="358">
        <f t="shared" si="27"/>
        <v>320867.25</v>
      </c>
      <c r="AK460" s="410"/>
      <c r="AL460" s="231"/>
      <c r="AM460" s="231"/>
      <c r="AN460" s="231"/>
      <c r="AO460" s="231"/>
    </row>
    <row r="461" spans="1:41" s="231" customFormat="1" ht="46.5" customHeight="1">
      <c r="A461" s="350" t="s">
        <v>266</v>
      </c>
      <c r="B461" s="347" t="s">
        <v>481</v>
      </c>
      <c r="C461" s="347"/>
      <c r="D461" s="347"/>
      <c r="E461" s="346"/>
      <c r="F461" s="347"/>
      <c r="G461" s="346"/>
      <c r="H461" s="346"/>
      <c r="I461" s="346"/>
      <c r="J461" s="346"/>
      <c r="K461" s="346"/>
      <c r="L461" s="346"/>
      <c r="M461" s="346"/>
      <c r="N461" s="357"/>
      <c r="O461" s="357"/>
      <c r="P461" s="357"/>
      <c r="Q461" s="357"/>
      <c r="R461" s="346"/>
      <c r="S461" s="346"/>
      <c r="T461" s="346"/>
      <c r="U461" s="346"/>
      <c r="V461" s="346">
        <v>1</v>
      </c>
      <c r="W461" s="346"/>
      <c r="X461" s="346"/>
      <c r="Y461" s="346"/>
      <c r="Z461" s="346"/>
      <c r="AA461" s="346"/>
      <c r="AB461" s="346"/>
      <c r="AC461" s="346">
        <f t="shared" si="26"/>
        <v>1</v>
      </c>
      <c r="AD461" s="278" t="s">
        <v>141</v>
      </c>
      <c r="AE461" s="346" t="s">
        <v>67</v>
      </c>
      <c r="AF461" s="342" t="s">
        <v>31</v>
      </c>
      <c r="AG461" s="415">
        <v>0.1</v>
      </c>
      <c r="AH461" s="415">
        <v>0.1</v>
      </c>
      <c r="AI461" s="415">
        <v>0.1</v>
      </c>
      <c r="AJ461" s="358">
        <f t="shared" si="27"/>
        <v>320867.25</v>
      </c>
    </row>
    <row r="462" spans="1:41" s="231" customFormat="1" ht="26">
      <c r="A462" s="350" t="s">
        <v>268</v>
      </c>
      <c r="B462" s="347" t="s">
        <v>567</v>
      </c>
      <c r="C462" s="347"/>
      <c r="D462" s="347"/>
      <c r="E462" s="346"/>
      <c r="F462" s="347"/>
      <c r="G462" s="346"/>
      <c r="H462" s="346"/>
      <c r="I462" s="346"/>
      <c r="J462" s="346"/>
      <c r="K462" s="346"/>
      <c r="L462" s="346"/>
      <c r="M462" s="346"/>
      <c r="N462" s="357"/>
      <c r="O462" s="357"/>
      <c r="P462" s="357"/>
      <c r="Q462" s="357"/>
      <c r="R462" s="346"/>
      <c r="S462" s="346"/>
      <c r="T462" s="346"/>
      <c r="U462" s="346"/>
      <c r="V462" s="346"/>
      <c r="W462" s="346">
        <v>1</v>
      </c>
      <c r="X462" s="346"/>
      <c r="Y462" s="346"/>
      <c r="Z462" s="346"/>
      <c r="AA462" s="346"/>
      <c r="AB462" s="346"/>
      <c r="AC462" s="346">
        <f t="shared" si="26"/>
        <v>1</v>
      </c>
      <c r="AD462" s="346" t="s">
        <v>51</v>
      </c>
      <c r="AE462" s="346" t="s">
        <v>104</v>
      </c>
      <c r="AF462" s="350" t="s">
        <v>31</v>
      </c>
      <c r="AG462" s="369">
        <v>0.37</v>
      </c>
      <c r="AH462" s="370">
        <v>0.37</v>
      </c>
      <c r="AI462" s="370">
        <v>0.44400000000000001</v>
      </c>
      <c r="AJ462" s="358">
        <f t="shared" si="27"/>
        <v>360525</v>
      </c>
    </row>
    <row r="463" spans="1:41" s="231" customFormat="1" ht="14">
      <c r="A463" s="350" t="s">
        <v>269</v>
      </c>
      <c r="B463" s="347" t="s">
        <v>181</v>
      </c>
      <c r="C463" s="347"/>
      <c r="D463" s="347"/>
      <c r="E463" s="346"/>
      <c r="F463" s="347"/>
      <c r="G463" s="346"/>
      <c r="H463" s="346"/>
      <c r="I463" s="346"/>
      <c r="J463" s="346"/>
      <c r="K463" s="346"/>
      <c r="L463" s="346"/>
      <c r="M463" s="346"/>
      <c r="N463" s="357"/>
      <c r="O463" s="357"/>
      <c r="P463" s="357"/>
      <c r="Q463" s="357"/>
      <c r="R463" s="346"/>
      <c r="S463" s="346"/>
      <c r="T463" s="346"/>
      <c r="U463" s="346"/>
      <c r="V463" s="346"/>
      <c r="W463" s="346">
        <v>1</v>
      </c>
      <c r="X463" s="346"/>
      <c r="Y463" s="346"/>
      <c r="Z463" s="346"/>
      <c r="AA463" s="346"/>
      <c r="AB463" s="346"/>
      <c r="AC463" s="346">
        <f t="shared" si="26"/>
        <v>1</v>
      </c>
      <c r="AD463" s="346" t="s">
        <v>1</v>
      </c>
      <c r="AE463" s="346" t="s">
        <v>104</v>
      </c>
      <c r="AF463" s="350" t="s">
        <v>31</v>
      </c>
      <c r="AG463" s="369">
        <v>3.3000000000000002E-2</v>
      </c>
      <c r="AH463" s="370">
        <v>3.3000000000000002E-2</v>
      </c>
      <c r="AI463" s="370">
        <v>3.3000000000000002E-2</v>
      </c>
      <c r="AJ463" s="358">
        <f t="shared" si="27"/>
        <v>360525</v>
      </c>
    </row>
    <row r="464" spans="1:41" s="231" customFormat="1" ht="26">
      <c r="A464" s="350" t="s">
        <v>271</v>
      </c>
      <c r="B464" s="347" t="s">
        <v>184</v>
      </c>
      <c r="C464" s="347"/>
      <c r="D464" s="347"/>
      <c r="E464" s="346"/>
      <c r="F464" s="347"/>
      <c r="G464" s="346"/>
      <c r="H464" s="346"/>
      <c r="I464" s="346"/>
      <c r="J464" s="346"/>
      <c r="K464" s="346"/>
      <c r="L464" s="346"/>
      <c r="M464" s="346"/>
      <c r="N464" s="357"/>
      <c r="O464" s="357"/>
      <c r="P464" s="357"/>
      <c r="Q464" s="357"/>
      <c r="R464" s="346"/>
      <c r="S464" s="346"/>
      <c r="T464" s="346"/>
      <c r="U464" s="346"/>
      <c r="V464" s="346"/>
      <c r="W464" s="346"/>
      <c r="X464" s="346"/>
      <c r="Y464" s="346"/>
      <c r="Z464" s="346"/>
      <c r="AA464" s="346"/>
      <c r="AB464" s="346"/>
      <c r="AC464" s="346">
        <f t="shared" si="26"/>
        <v>0</v>
      </c>
      <c r="AD464" s="346"/>
      <c r="AE464" s="346"/>
      <c r="AF464" s="350"/>
      <c r="AG464" s="346"/>
      <c r="AH464" s="358"/>
      <c r="AI464" s="347"/>
      <c r="AJ464" s="358">
        <f t="shared" si="27"/>
        <v>0</v>
      </c>
    </row>
    <row r="465" spans="1:36" s="410" customFormat="1" ht="14">
      <c r="A465" s="400" t="s">
        <v>508</v>
      </c>
      <c r="B465" s="365" t="s">
        <v>185</v>
      </c>
      <c r="C465" s="365"/>
      <c r="D465" s="365"/>
      <c r="E465" s="430"/>
      <c r="F465" s="365"/>
      <c r="G465" s="430"/>
      <c r="H465" s="430"/>
      <c r="I465" s="430"/>
      <c r="J465" s="430"/>
      <c r="K465" s="430"/>
      <c r="L465" s="430"/>
      <c r="M465" s="430"/>
      <c r="N465" s="427"/>
      <c r="O465" s="427"/>
      <c r="P465" s="427"/>
      <c r="Q465" s="427"/>
      <c r="R465" s="430"/>
      <c r="S465" s="430"/>
      <c r="T465" s="430"/>
      <c r="U465" s="430">
        <v>1</v>
      </c>
      <c r="V465" s="430"/>
      <c r="W465" s="430"/>
      <c r="X465" s="430"/>
      <c r="Y465" s="430"/>
      <c r="Z465" s="430"/>
      <c r="AA465" s="430"/>
      <c r="AB465" s="430"/>
      <c r="AC465" s="430">
        <f t="shared" si="26"/>
        <v>1</v>
      </c>
      <c r="AD465" s="430" t="s">
        <v>444</v>
      </c>
      <c r="AE465" s="430" t="s">
        <v>66</v>
      </c>
      <c r="AF465" s="400" t="s">
        <v>31</v>
      </c>
      <c r="AG465" s="452">
        <v>1.6E-2</v>
      </c>
      <c r="AH465" s="453">
        <v>1.6E-2</v>
      </c>
      <c r="AI465" s="453">
        <v>0.02</v>
      </c>
      <c r="AJ465" s="432">
        <f t="shared" si="27"/>
        <v>281209.5</v>
      </c>
    </row>
    <row r="466" spans="1:36" s="410" customFormat="1" ht="14">
      <c r="A466" s="400" t="s">
        <v>509</v>
      </c>
      <c r="B466" s="365" t="s">
        <v>186</v>
      </c>
      <c r="C466" s="365"/>
      <c r="D466" s="365"/>
      <c r="E466" s="430"/>
      <c r="F466" s="365"/>
      <c r="G466" s="430"/>
      <c r="H466" s="430"/>
      <c r="I466" s="430"/>
      <c r="J466" s="430"/>
      <c r="K466" s="430"/>
      <c r="L466" s="430"/>
      <c r="M466" s="430"/>
      <c r="N466" s="427"/>
      <c r="O466" s="427"/>
      <c r="P466" s="427"/>
      <c r="Q466" s="427"/>
      <c r="R466" s="430"/>
      <c r="S466" s="430"/>
      <c r="T466" s="430"/>
      <c r="U466" s="430">
        <v>1</v>
      </c>
      <c r="V466" s="430"/>
      <c r="W466" s="430"/>
      <c r="X466" s="430"/>
      <c r="Y466" s="430"/>
      <c r="Z466" s="430"/>
      <c r="AA466" s="430"/>
      <c r="AB466" s="430"/>
      <c r="AC466" s="430">
        <f t="shared" si="26"/>
        <v>1</v>
      </c>
      <c r="AD466" s="430" t="s">
        <v>444</v>
      </c>
      <c r="AE466" s="430" t="s">
        <v>66</v>
      </c>
      <c r="AF466" s="400" t="s">
        <v>31</v>
      </c>
      <c r="AG466" s="452">
        <v>8.0000000000000002E-3</v>
      </c>
      <c r="AH466" s="453">
        <v>8.0000000000000002E-3</v>
      </c>
      <c r="AI466" s="453">
        <v>0.01</v>
      </c>
      <c r="AJ466" s="432">
        <f t="shared" si="27"/>
        <v>281209.5</v>
      </c>
    </row>
    <row r="467" spans="1:36" s="183" customFormat="1" ht="39">
      <c r="A467" s="350" t="s">
        <v>273</v>
      </c>
      <c r="B467" s="347" t="s">
        <v>187</v>
      </c>
      <c r="C467" s="347"/>
      <c r="D467" s="347"/>
      <c r="E467" s="346"/>
      <c r="F467" s="347"/>
      <c r="G467" s="346"/>
      <c r="H467" s="346"/>
      <c r="I467" s="346"/>
      <c r="J467" s="346"/>
      <c r="K467" s="346"/>
      <c r="L467" s="346"/>
      <c r="M467" s="346"/>
      <c r="N467" s="357"/>
      <c r="O467" s="357"/>
      <c r="P467" s="357"/>
      <c r="Q467" s="357"/>
      <c r="R467" s="346"/>
      <c r="S467" s="346"/>
      <c r="T467" s="346"/>
      <c r="U467" s="346">
        <v>1</v>
      </c>
      <c r="V467" s="346"/>
      <c r="W467" s="346"/>
      <c r="X467" s="346"/>
      <c r="Y467" s="346"/>
      <c r="Z467" s="346"/>
      <c r="AA467" s="346"/>
      <c r="AB467" s="346"/>
      <c r="AC467" s="346">
        <f t="shared" si="26"/>
        <v>1</v>
      </c>
      <c r="AD467" s="346" t="s">
        <v>444</v>
      </c>
      <c r="AE467" s="346" t="s">
        <v>66</v>
      </c>
      <c r="AF467" s="350" t="s">
        <v>31</v>
      </c>
      <c r="AG467" s="369">
        <v>4.0000000000000001E-3</v>
      </c>
      <c r="AH467" s="370">
        <v>4.0000000000000001E-3</v>
      </c>
      <c r="AI467" s="370">
        <v>5.0000000000000001E-3</v>
      </c>
      <c r="AJ467" s="358">
        <f t="shared" si="27"/>
        <v>281209.5</v>
      </c>
    </row>
    <row r="468" spans="1:36" s="183" customFormat="1" ht="26">
      <c r="A468" s="350" t="s">
        <v>275</v>
      </c>
      <c r="B468" s="347" t="s">
        <v>188</v>
      </c>
      <c r="C468" s="347"/>
      <c r="D468" s="347"/>
      <c r="E468" s="346"/>
      <c r="F468" s="347"/>
      <c r="G468" s="346"/>
      <c r="H468" s="346"/>
      <c r="I468" s="346"/>
      <c r="J468" s="346"/>
      <c r="K468" s="346"/>
      <c r="L468" s="346"/>
      <c r="M468" s="346"/>
      <c r="N468" s="357"/>
      <c r="O468" s="357"/>
      <c r="P468" s="357"/>
      <c r="Q468" s="357"/>
      <c r="R468" s="346"/>
      <c r="S468" s="346"/>
      <c r="T468" s="346"/>
      <c r="U468" s="346">
        <v>1</v>
      </c>
      <c r="V468" s="346"/>
      <c r="W468" s="346"/>
      <c r="X468" s="346"/>
      <c r="Y468" s="346"/>
      <c r="Z468" s="346"/>
      <c r="AA468" s="346"/>
      <c r="AB468" s="346"/>
      <c r="AC468" s="346">
        <f t="shared" si="26"/>
        <v>1</v>
      </c>
      <c r="AD468" s="346" t="s">
        <v>1</v>
      </c>
      <c r="AE468" s="346" t="s">
        <v>66</v>
      </c>
      <c r="AF468" s="350" t="s">
        <v>31</v>
      </c>
      <c r="AG468" s="369">
        <v>0.01</v>
      </c>
      <c r="AH468" s="370">
        <v>0.01</v>
      </c>
      <c r="AI468" s="370">
        <v>0.01</v>
      </c>
      <c r="AJ468" s="358">
        <f t="shared" si="27"/>
        <v>281209.5</v>
      </c>
    </row>
    <row r="469" spans="1:36" s="231" customFormat="1" ht="78">
      <c r="A469" s="350" t="s">
        <v>277</v>
      </c>
      <c r="B469" s="347" t="s">
        <v>555</v>
      </c>
      <c r="C469" s="347"/>
      <c r="D469" s="347"/>
      <c r="E469" s="346"/>
      <c r="F469" s="347"/>
      <c r="G469" s="346"/>
      <c r="H469" s="346"/>
      <c r="I469" s="346"/>
      <c r="J469" s="346"/>
      <c r="K469" s="346"/>
      <c r="L469" s="346"/>
      <c r="M469" s="346"/>
      <c r="N469" s="357"/>
      <c r="O469" s="357"/>
      <c r="P469" s="357"/>
      <c r="Q469" s="357"/>
      <c r="R469" s="346"/>
      <c r="S469" s="346"/>
      <c r="T469" s="346"/>
      <c r="U469" s="346"/>
      <c r="V469" s="346">
        <v>1</v>
      </c>
      <c r="W469" s="346"/>
      <c r="X469" s="346"/>
      <c r="Y469" s="346"/>
      <c r="Z469" s="346"/>
      <c r="AA469" s="346"/>
      <c r="AB469" s="346"/>
      <c r="AC469" s="346">
        <f t="shared" si="26"/>
        <v>1</v>
      </c>
      <c r="AD469" s="346" t="s">
        <v>51</v>
      </c>
      <c r="AE469" s="346" t="s">
        <v>67</v>
      </c>
      <c r="AF469" s="350" t="s">
        <v>31</v>
      </c>
      <c r="AG469" s="369">
        <v>0.05</v>
      </c>
      <c r="AH469" s="369">
        <v>0.05</v>
      </c>
      <c r="AI469" s="369">
        <v>6.5000000000000002E-2</v>
      </c>
      <c r="AJ469" s="358">
        <f t="shared" si="27"/>
        <v>320867.25</v>
      </c>
    </row>
    <row r="470" spans="1:36" ht="22.15" customHeight="1">
      <c r="A470" s="341" t="s">
        <v>236</v>
      </c>
      <c r="B470" s="894" t="s">
        <v>670</v>
      </c>
      <c r="C470" s="894"/>
      <c r="D470" s="894"/>
      <c r="E470" s="894"/>
      <c r="F470" s="894"/>
      <c r="G470" s="894"/>
      <c r="H470" s="894"/>
      <c r="I470" s="894"/>
      <c r="J470" s="894"/>
      <c r="K470" s="894"/>
      <c r="L470" s="894"/>
      <c r="M470" s="894"/>
      <c r="N470" s="894"/>
      <c r="O470" s="894"/>
      <c r="P470" s="894"/>
      <c r="Q470" s="894"/>
      <c r="R470" s="894"/>
      <c r="S470" s="894"/>
      <c r="T470" s="894"/>
      <c r="U470" s="894"/>
      <c r="V470" s="894"/>
      <c r="W470" s="894"/>
      <c r="X470" s="894"/>
      <c r="Y470" s="894"/>
      <c r="Z470" s="894"/>
      <c r="AA470" s="894"/>
      <c r="AB470" s="894"/>
      <c r="AC470" s="894"/>
      <c r="AD470" s="894"/>
      <c r="AE470" s="894"/>
      <c r="AF470" s="894"/>
      <c r="AG470" s="894"/>
      <c r="AH470" s="75"/>
      <c r="AI470" s="233"/>
      <c r="AJ470" s="233"/>
    </row>
    <row r="471" spans="1:36" s="229" customFormat="1" ht="26">
      <c r="A471" s="226">
        <v>1</v>
      </c>
      <c r="B471" s="347" t="s">
        <v>568</v>
      </c>
      <c r="C471" s="347"/>
      <c r="D471" s="347"/>
      <c r="E471" s="226"/>
      <c r="F471" s="227"/>
      <c r="G471" s="226"/>
      <c r="H471" s="226"/>
      <c r="I471" s="226"/>
      <c r="J471" s="226"/>
      <c r="K471" s="226"/>
      <c r="L471" s="226"/>
      <c r="M471" s="226"/>
      <c r="N471" s="363"/>
      <c r="O471" s="363"/>
      <c r="P471" s="363"/>
      <c r="Q471" s="363"/>
      <c r="R471" s="226"/>
      <c r="S471" s="226"/>
      <c r="T471" s="226"/>
      <c r="U471" s="226"/>
      <c r="V471" s="226">
        <v>1</v>
      </c>
      <c r="W471" s="226"/>
      <c r="X471" s="226"/>
      <c r="Y471" s="226"/>
      <c r="Z471" s="226"/>
      <c r="AA471" s="226"/>
      <c r="AB471" s="226"/>
      <c r="AC471" s="226">
        <f>SUM(E471:AB471)</f>
        <v>1</v>
      </c>
      <c r="AD471" s="226" t="s">
        <v>51</v>
      </c>
      <c r="AE471" s="226" t="s">
        <v>67</v>
      </c>
      <c r="AF471" s="342" t="s">
        <v>31</v>
      </c>
      <c r="AG471" s="371">
        <v>0.1</v>
      </c>
      <c r="AH471" s="371">
        <v>0.1</v>
      </c>
      <c r="AI471" s="371">
        <v>0.13</v>
      </c>
      <c r="AJ471" s="364">
        <f t="shared" si="27"/>
        <v>320867.25</v>
      </c>
    </row>
    <row r="472" spans="1:36" s="231" customFormat="1" ht="39">
      <c r="A472" s="311">
        <v>2</v>
      </c>
      <c r="B472" s="347" t="s">
        <v>482</v>
      </c>
      <c r="C472" s="347"/>
      <c r="D472" s="347"/>
      <c r="E472" s="311"/>
      <c r="F472" s="366"/>
      <c r="G472" s="311"/>
      <c r="H472" s="311"/>
      <c r="I472" s="311"/>
      <c r="J472" s="311"/>
      <c r="K472" s="311"/>
      <c r="L472" s="311">
        <v>1</v>
      </c>
      <c r="M472" s="311"/>
      <c r="N472" s="367"/>
      <c r="O472" s="367"/>
      <c r="P472" s="367"/>
      <c r="Q472" s="367"/>
      <c r="R472" s="311"/>
      <c r="S472" s="311"/>
      <c r="T472" s="311"/>
      <c r="U472" s="311"/>
      <c r="V472" s="311"/>
      <c r="W472" s="311"/>
      <c r="X472" s="311"/>
      <c r="Y472" s="311"/>
      <c r="Z472" s="311"/>
      <c r="AA472" s="311"/>
      <c r="AB472" s="311"/>
      <c r="AC472" s="311">
        <f>SUM(E472:AB472)</f>
        <v>1</v>
      </c>
      <c r="AD472" s="311" t="s">
        <v>51</v>
      </c>
      <c r="AE472" s="311" t="s">
        <v>106</v>
      </c>
      <c r="AF472" s="342" t="s">
        <v>31</v>
      </c>
      <c r="AG472" s="415">
        <v>0.06</v>
      </c>
      <c r="AH472" s="415">
        <v>0.06</v>
      </c>
      <c r="AI472" s="415">
        <v>7.8E-2</v>
      </c>
      <c r="AJ472" s="374">
        <f t="shared" si="27"/>
        <v>295630.50000000006</v>
      </c>
    </row>
    <row r="473" spans="1:36" s="231" customFormat="1" ht="52">
      <c r="A473" s="311">
        <v>3</v>
      </c>
      <c r="B473" s="347" t="s">
        <v>484</v>
      </c>
      <c r="C473" s="347"/>
      <c r="D473" s="347"/>
      <c r="E473" s="311"/>
      <c r="F473" s="366"/>
      <c r="G473" s="311"/>
      <c r="H473" s="311"/>
      <c r="I473" s="311"/>
      <c r="J473" s="311"/>
      <c r="K473" s="311"/>
      <c r="L473" s="311"/>
      <c r="M473" s="311"/>
      <c r="N473" s="367"/>
      <c r="O473" s="367"/>
      <c r="P473" s="367"/>
      <c r="Q473" s="367"/>
      <c r="R473" s="311"/>
      <c r="S473" s="311"/>
      <c r="T473" s="311"/>
      <c r="U473" s="311"/>
      <c r="V473" s="311">
        <v>1</v>
      </c>
      <c r="W473" s="311"/>
      <c r="X473" s="311"/>
      <c r="Y473" s="311"/>
      <c r="Z473" s="311"/>
      <c r="AA473" s="311"/>
      <c r="AB473" s="311"/>
      <c r="AC473" s="311">
        <f>SUM(E473:AB473)</f>
        <v>1</v>
      </c>
      <c r="AD473" s="311" t="s">
        <v>51</v>
      </c>
      <c r="AE473" s="311" t="s">
        <v>67</v>
      </c>
      <c r="AF473" s="342" t="s">
        <v>31</v>
      </c>
      <c r="AG473" s="415">
        <v>0.1</v>
      </c>
      <c r="AH473" s="415">
        <v>0.1</v>
      </c>
      <c r="AI473" s="415">
        <v>0.15</v>
      </c>
      <c r="AJ473" s="374">
        <f t="shared" si="27"/>
        <v>320867.25</v>
      </c>
    </row>
    <row r="474" spans="1:36" ht="22.15" customHeight="1">
      <c r="A474" s="65" t="s">
        <v>247</v>
      </c>
      <c r="B474" s="286" t="s">
        <v>246</v>
      </c>
      <c r="C474" s="287"/>
      <c r="D474" s="287"/>
      <c r="E474" s="287"/>
      <c r="F474" s="287"/>
      <c r="G474" s="287"/>
      <c r="H474" s="287"/>
      <c r="I474" s="287"/>
      <c r="J474" s="287"/>
      <c r="K474" s="287"/>
      <c r="L474" s="287"/>
      <c r="M474" s="287"/>
      <c r="N474" s="287"/>
      <c r="O474" s="287"/>
      <c r="P474" s="287"/>
      <c r="Q474" s="287"/>
      <c r="R474" s="287"/>
      <c r="S474" s="287"/>
      <c r="T474" s="287"/>
      <c r="U474" s="287"/>
      <c r="V474" s="287"/>
      <c r="W474" s="287"/>
      <c r="X474" s="287"/>
      <c r="Y474" s="287"/>
      <c r="Z474" s="287"/>
      <c r="AA474" s="287"/>
      <c r="AB474" s="287"/>
      <c r="AC474" s="287"/>
      <c r="AD474" s="287"/>
      <c r="AE474" s="287"/>
      <c r="AF474" s="287"/>
      <c r="AG474" s="287"/>
      <c r="AH474" s="290"/>
      <c r="AI474" s="59"/>
      <c r="AJ474" s="181"/>
    </row>
    <row r="475" spans="1:36" ht="35.5" customHeight="1">
      <c r="A475" s="47" t="s">
        <v>32</v>
      </c>
      <c r="B475" s="876" t="s">
        <v>682</v>
      </c>
      <c r="C475" s="877"/>
      <c r="D475" s="877"/>
      <c r="E475" s="877"/>
      <c r="F475" s="877"/>
      <c r="G475" s="877"/>
      <c r="H475" s="877"/>
      <c r="I475" s="877"/>
      <c r="J475" s="877"/>
      <c r="K475" s="877"/>
      <c r="L475" s="877"/>
      <c r="M475" s="877"/>
      <c r="N475" s="877"/>
      <c r="O475" s="877"/>
      <c r="P475" s="877"/>
      <c r="Q475" s="877"/>
      <c r="R475" s="877"/>
      <c r="S475" s="877"/>
      <c r="T475" s="877"/>
      <c r="U475" s="877"/>
      <c r="V475" s="877"/>
      <c r="W475" s="877"/>
      <c r="X475" s="877"/>
      <c r="Y475" s="877"/>
      <c r="Z475" s="877"/>
      <c r="AA475" s="877"/>
      <c r="AB475" s="877"/>
      <c r="AC475" s="877"/>
      <c r="AD475" s="877"/>
      <c r="AE475" s="877"/>
      <c r="AF475" s="878"/>
      <c r="AG475" s="44"/>
      <c r="AH475" s="58"/>
      <c r="AI475" s="58"/>
      <c r="AJ475" s="67"/>
    </row>
    <row r="476" spans="1:36" ht="28.5" customHeight="1">
      <c r="A476" s="47" t="s">
        <v>33</v>
      </c>
      <c r="B476" s="876" t="s">
        <v>876</v>
      </c>
      <c r="C476" s="877"/>
      <c r="D476" s="877"/>
      <c r="E476" s="877"/>
      <c r="F476" s="877"/>
      <c r="G476" s="877"/>
      <c r="H476" s="877"/>
      <c r="I476" s="877"/>
      <c r="J476" s="877"/>
      <c r="K476" s="877"/>
      <c r="L476" s="877"/>
      <c r="M476" s="877"/>
      <c r="N476" s="877"/>
      <c r="O476" s="877"/>
      <c r="P476" s="877"/>
      <c r="Q476" s="877"/>
      <c r="R476" s="877"/>
      <c r="S476" s="877"/>
      <c r="T476" s="877"/>
      <c r="U476" s="877"/>
      <c r="V476" s="877"/>
      <c r="W476" s="877"/>
      <c r="X476" s="877"/>
      <c r="Y476" s="877"/>
      <c r="Z476" s="877"/>
      <c r="AA476" s="877"/>
      <c r="AB476" s="877"/>
      <c r="AC476" s="877"/>
      <c r="AD476" s="877"/>
      <c r="AE476" s="877"/>
      <c r="AF476" s="878"/>
      <c r="AG476" s="45"/>
      <c r="AH476" s="72"/>
      <c r="AI476" s="72"/>
      <c r="AJ476" s="67"/>
    </row>
    <row r="477" spans="1:36">
      <c r="A477" s="54"/>
      <c r="B477" s="55"/>
      <c r="C477" s="55"/>
      <c r="D477" s="55"/>
      <c r="E477" s="57"/>
      <c r="F477" s="55"/>
      <c r="G477" s="57"/>
      <c r="H477" s="57"/>
      <c r="I477" s="57"/>
      <c r="J477" s="57"/>
      <c r="K477" s="57"/>
      <c r="L477" s="57"/>
      <c r="M477" s="57"/>
      <c r="N477" s="68"/>
      <c r="O477" s="68"/>
      <c r="P477" s="68"/>
      <c r="Q477" s="68"/>
      <c r="R477" s="57"/>
      <c r="S477" s="57"/>
      <c r="T477" s="57"/>
      <c r="U477" s="57"/>
      <c r="V477" s="57"/>
      <c r="W477" s="57"/>
      <c r="X477" s="57"/>
      <c r="Y477" s="57"/>
      <c r="Z477" s="57"/>
      <c r="AA477" s="57"/>
      <c r="AB477" s="57"/>
      <c r="AC477" s="57"/>
      <c r="AD477" s="57"/>
      <c r="AE477" s="57"/>
      <c r="AF477" s="56"/>
      <c r="AG477" s="57"/>
      <c r="AH477" s="70"/>
      <c r="AI477" s="55"/>
      <c r="AJ477" s="69">
        <f>(E477*E$6+F477*F$6+G477*G$6+H477*H$6+I477*I$6+J477*J$6+K477*K$6+L477*L$6+M477*M$6+N477*N$6+O477*O$6+P477*P$6+Q477*Q$6+R477*R$6+S477*S$6+T477*T$6+U477*U$6+V477*V$6+W477*W$6+X477*X$6+Y477*Y$6+Z477*Z$6+AA477*AA$6+AB477*AB$6)</f>
        <v>0</v>
      </c>
    </row>
    <row r="478" spans="1:36" ht="18" customHeight="1">
      <c r="A478" s="64" t="s">
        <v>237</v>
      </c>
      <c r="B478" s="288" t="s">
        <v>238</v>
      </c>
      <c r="C478" s="289"/>
      <c r="D478" s="289"/>
      <c r="E478" s="289"/>
      <c r="F478" s="289"/>
      <c r="G478" s="289"/>
      <c r="H478" s="289"/>
      <c r="I478" s="289"/>
      <c r="J478" s="289"/>
      <c r="K478" s="289"/>
      <c r="L478" s="289"/>
      <c r="M478" s="289"/>
      <c r="N478" s="289"/>
      <c r="O478" s="289"/>
      <c r="P478" s="289"/>
      <c r="Q478" s="289"/>
      <c r="R478" s="289"/>
      <c r="S478" s="289"/>
      <c r="T478" s="289"/>
      <c r="U478" s="289"/>
      <c r="V478" s="289"/>
      <c r="W478" s="289"/>
      <c r="X478" s="289"/>
      <c r="Y478" s="289"/>
      <c r="Z478" s="289"/>
      <c r="AA478" s="289"/>
      <c r="AB478" s="289"/>
      <c r="AC478" s="289"/>
      <c r="AD478" s="289"/>
      <c r="AE478" s="289"/>
      <c r="AF478" s="289"/>
      <c r="AG478" s="291"/>
      <c r="AH478" s="74" t="s">
        <v>308</v>
      </c>
    </row>
    <row r="479" spans="1:36">
      <c r="A479" s="184" t="s">
        <v>32</v>
      </c>
      <c r="B479" s="185" t="s">
        <v>239</v>
      </c>
      <c r="C479" s="185"/>
      <c r="D479" s="185"/>
      <c r="E479" s="186"/>
      <c r="F479" s="185"/>
      <c r="G479" s="186"/>
      <c r="H479" s="186"/>
      <c r="I479" s="186"/>
      <c r="J479" s="186"/>
      <c r="K479" s="186"/>
      <c r="L479" s="186"/>
      <c r="M479" s="186"/>
      <c r="N479" s="191"/>
      <c r="O479" s="191"/>
      <c r="P479" s="191"/>
      <c r="Q479" s="191"/>
      <c r="R479" s="186"/>
      <c r="S479" s="186"/>
      <c r="T479" s="186"/>
      <c r="U479" s="186"/>
      <c r="V479" s="186">
        <v>1</v>
      </c>
      <c r="W479" s="186"/>
      <c r="X479" s="186"/>
      <c r="Y479" s="186"/>
      <c r="Z479" s="186"/>
      <c r="AA479" s="186"/>
      <c r="AB479" s="186"/>
      <c r="AC479" s="186">
        <f t="shared" ref="AC479:AC485" si="28">SUM(E479:AB479)</f>
        <v>1</v>
      </c>
      <c r="AD479" s="186" t="s">
        <v>51</v>
      </c>
      <c r="AE479" s="186" t="s">
        <v>67</v>
      </c>
      <c r="AF479" s="187"/>
      <c r="AG479" s="187" t="s">
        <v>684</v>
      </c>
      <c r="AH479" s="192">
        <f t="shared" ref="AH479:AH485" si="29">(E479*E$6+F479*F$6+G479*G$6+H479*H$6+I479*I$6+J479*J$6+K479*K$6+L479*L$6+M479*M$6+N479*N$6+O479*O$6+P479*P$6+Q479*Q$6+R479*R$6+S479*S$6+T479*T$6+U479*U$6+V479*V$6+W479*W$6+X479*X$6+Y479*Y$6+Z479*Z$6+AA479*AA$6+AB479*AB$6)</f>
        <v>320867.25</v>
      </c>
    </row>
    <row r="480" spans="1:36">
      <c r="A480" s="184" t="s">
        <v>33</v>
      </c>
      <c r="B480" s="185" t="s">
        <v>162</v>
      </c>
      <c r="C480" s="185"/>
      <c r="D480" s="185"/>
      <c r="E480" s="186"/>
      <c r="F480" s="185"/>
      <c r="G480" s="186"/>
      <c r="H480" s="186"/>
      <c r="I480" s="186"/>
      <c r="J480" s="186"/>
      <c r="K480" s="186"/>
      <c r="L480" s="186"/>
      <c r="M480" s="186"/>
      <c r="N480" s="191"/>
      <c r="O480" s="191"/>
      <c r="P480" s="191"/>
      <c r="Q480" s="191"/>
      <c r="R480" s="186"/>
      <c r="S480" s="186"/>
      <c r="T480" s="186"/>
      <c r="U480" s="186"/>
      <c r="V480" s="186"/>
      <c r="W480" s="186"/>
      <c r="X480" s="186"/>
      <c r="Y480" s="186"/>
      <c r="Z480" s="186"/>
      <c r="AA480" s="186"/>
      <c r="AB480" s="186"/>
      <c r="AC480" s="186">
        <f t="shared" si="28"/>
        <v>0</v>
      </c>
      <c r="AD480" s="186"/>
      <c r="AE480" s="186"/>
      <c r="AF480" s="187"/>
      <c r="AG480" s="187"/>
      <c r="AH480" s="192">
        <f t="shared" si="29"/>
        <v>0</v>
      </c>
    </row>
    <row r="481" spans="1:41" s="66" customFormat="1">
      <c r="A481" s="190" t="s">
        <v>131</v>
      </c>
      <c r="B481" s="189" t="s">
        <v>240</v>
      </c>
      <c r="C481" s="189"/>
      <c r="D481" s="189"/>
      <c r="E481" s="188"/>
      <c r="F481" s="189"/>
      <c r="G481" s="188"/>
      <c r="H481" s="188"/>
      <c r="I481" s="188"/>
      <c r="J481" s="188"/>
      <c r="K481" s="188"/>
      <c r="L481" s="188"/>
      <c r="M481" s="188"/>
      <c r="N481" s="193"/>
      <c r="O481" s="193"/>
      <c r="P481" s="193"/>
      <c r="Q481" s="193"/>
      <c r="R481" s="188"/>
      <c r="S481" s="188"/>
      <c r="T481" s="188"/>
      <c r="U481" s="188"/>
      <c r="V481" s="186">
        <v>1</v>
      </c>
      <c r="W481" s="186"/>
      <c r="X481" s="186"/>
      <c r="Y481" s="186"/>
      <c r="Z481" s="186"/>
      <c r="AA481" s="186"/>
      <c r="AB481" s="186"/>
      <c r="AC481" s="186">
        <f t="shared" si="28"/>
        <v>1</v>
      </c>
      <c r="AD481" s="186" t="s">
        <v>51</v>
      </c>
      <c r="AE481" s="186" t="s">
        <v>67</v>
      </c>
      <c r="AF481" s="187"/>
      <c r="AG481" s="187" t="s">
        <v>685</v>
      </c>
      <c r="AH481" s="192">
        <f t="shared" si="29"/>
        <v>320867.25</v>
      </c>
      <c r="AL481" s="50"/>
      <c r="AM481" s="50"/>
      <c r="AN481" s="50"/>
      <c r="AO481" s="50"/>
    </row>
    <row r="482" spans="1:41" s="125" customFormat="1">
      <c r="A482" s="190" t="s">
        <v>134</v>
      </c>
      <c r="B482" s="189" t="s">
        <v>241</v>
      </c>
      <c r="C482" s="189"/>
      <c r="D482" s="189"/>
      <c r="E482" s="188"/>
      <c r="F482" s="189"/>
      <c r="G482" s="188"/>
      <c r="H482" s="188"/>
      <c r="I482" s="188"/>
      <c r="J482" s="188"/>
      <c r="K482" s="188"/>
      <c r="L482" s="188"/>
      <c r="M482" s="188"/>
      <c r="N482" s="193"/>
      <c r="O482" s="193"/>
      <c r="P482" s="193"/>
      <c r="Q482" s="193"/>
      <c r="R482" s="188"/>
      <c r="S482" s="188"/>
      <c r="T482" s="188"/>
      <c r="U482" s="188"/>
      <c r="V482" s="186">
        <v>1</v>
      </c>
      <c r="W482" s="186"/>
      <c r="X482" s="186"/>
      <c r="Y482" s="186"/>
      <c r="Z482" s="186"/>
      <c r="AA482" s="186"/>
      <c r="AB482" s="186"/>
      <c r="AC482" s="186">
        <f t="shared" si="28"/>
        <v>1</v>
      </c>
      <c r="AD482" s="186" t="s">
        <v>51</v>
      </c>
      <c r="AE482" s="186" t="s">
        <v>67</v>
      </c>
      <c r="AF482" s="187"/>
      <c r="AG482" s="187" t="s">
        <v>684</v>
      </c>
      <c r="AH482" s="192">
        <f t="shared" si="29"/>
        <v>320867.25</v>
      </c>
      <c r="AI482" s="66"/>
      <c r="AJ482" s="66"/>
      <c r="AK482" s="66"/>
      <c r="AL482" s="50"/>
      <c r="AM482" s="50"/>
      <c r="AN482" s="50"/>
      <c r="AO482" s="50"/>
    </row>
    <row r="483" spans="1:41">
      <c r="A483" s="184" t="s">
        <v>34</v>
      </c>
      <c r="B483" s="185" t="s">
        <v>242</v>
      </c>
      <c r="C483" s="185"/>
      <c r="D483" s="185"/>
      <c r="E483" s="186"/>
      <c r="F483" s="185"/>
      <c r="G483" s="186"/>
      <c r="H483" s="186"/>
      <c r="I483" s="186"/>
      <c r="J483" s="186"/>
      <c r="K483" s="186"/>
      <c r="L483" s="186"/>
      <c r="M483" s="186"/>
      <c r="N483" s="191"/>
      <c r="O483" s="191"/>
      <c r="P483" s="191"/>
      <c r="Q483" s="191"/>
      <c r="R483" s="186"/>
      <c r="S483" s="186"/>
      <c r="T483" s="186"/>
      <c r="U483" s="186"/>
      <c r="V483" s="186"/>
      <c r="W483" s="186"/>
      <c r="X483" s="186"/>
      <c r="Y483" s="186"/>
      <c r="Z483" s="186"/>
      <c r="AA483" s="186"/>
      <c r="AB483" s="186"/>
      <c r="AC483" s="186">
        <f t="shared" si="28"/>
        <v>0</v>
      </c>
      <c r="AD483" s="186"/>
      <c r="AE483" s="186"/>
      <c r="AF483" s="187"/>
      <c r="AG483" s="187"/>
      <c r="AH483" s="192">
        <f t="shared" si="29"/>
        <v>0</v>
      </c>
    </row>
    <row r="484" spans="1:41" s="66" customFormat="1">
      <c r="A484" s="190" t="s">
        <v>243</v>
      </c>
      <c r="B484" s="189" t="s">
        <v>244</v>
      </c>
      <c r="C484" s="189"/>
      <c r="D484" s="189"/>
      <c r="E484" s="188"/>
      <c r="F484" s="189"/>
      <c r="G484" s="188"/>
      <c r="H484" s="188"/>
      <c r="I484" s="188"/>
      <c r="J484" s="188"/>
      <c r="K484" s="188"/>
      <c r="L484" s="188"/>
      <c r="M484" s="188"/>
      <c r="N484" s="193"/>
      <c r="O484" s="193"/>
      <c r="P484" s="193"/>
      <c r="Q484" s="193"/>
      <c r="R484" s="188"/>
      <c r="S484" s="188"/>
      <c r="T484" s="188"/>
      <c r="U484" s="188"/>
      <c r="V484" s="186">
        <v>1</v>
      </c>
      <c r="W484" s="186"/>
      <c r="X484" s="186"/>
      <c r="Y484" s="186"/>
      <c r="Z484" s="186"/>
      <c r="AA484" s="186"/>
      <c r="AB484" s="186"/>
      <c r="AC484" s="186">
        <f t="shared" si="28"/>
        <v>1</v>
      </c>
      <c r="AD484" s="186" t="s">
        <v>51</v>
      </c>
      <c r="AE484" s="186" t="s">
        <v>67</v>
      </c>
      <c r="AF484" s="187"/>
      <c r="AG484" s="187" t="s">
        <v>685</v>
      </c>
      <c r="AH484" s="192">
        <f t="shared" si="29"/>
        <v>320867.25</v>
      </c>
      <c r="AL484" s="50"/>
      <c r="AM484" s="50"/>
      <c r="AN484" s="50"/>
      <c r="AO484" s="50"/>
    </row>
    <row r="485" spans="1:41" s="125" customFormat="1">
      <c r="A485" s="190" t="s">
        <v>245</v>
      </c>
      <c r="B485" s="189" t="s">
        <v>241</v>
      </c>
      <c r="C485" s="189"/>
      <c r="D485" s="189"/>
      <c r="E485" s="188"/>
      <c r="F485" s="189"/>
      <c r="G485" s="188"/>
      <c r="H485" s="188"/>
      <c r="I485" s="188"/>
      <c r="J485" s="188"/>
      <c r="K485" s="188"/>
      <c r="L485" s="188"/>
      <c r="M485" s="188"/>
      <c r="N485" s="193"/>
      <c r="O485" s="193"/>
      <c r="P485" s="193"/>
      <c r="Q485" s="193"/>
      <c r="R485" s="188"/>
      <c r="S485" s="188"/>
      <c r="T485" s="188"/>
      <c r="U485" s="188"/>
      <c r="V485" s="186">
        <v>1</v>
      </c>
      <c r="W485" s="186"/>
      <c r="X485" s="186"/>
      <c r="Y485" s="186"/>
      <c r="Z485" s="186"/>
      <c r="AA485" s="186"/>
      <c r="AB485" s="186"/>
      <c r="AC485" s="186">
        <f t="shared" si="28"/>
        <v>1</v>
      </c>
      <c r="AD485" s="186" t="s">
        <v>51</v>
      </c>
      <c r="AE485" s="186" t="s">
        <v>67</v>
      </c>
      <c r="AF485" s="187"/>
      <c r="AG485" s="187" t="s">
        <v>684</v>
      </c>
      <c r="AH485" s="192">
        <f t="shared" si="29"/>
        <v>320867.25</v>
      </c>
      <c r="AI485" s="66"/>
      <c r="AJ485" s="66"/>
      <c r="AK485" s="66"/>
      <c r="AL485" s="50"/>
      <c r="AM485" s="50"/>
      <c r="AN485" s="50"/>
      <c r="AO485" s="50"/>
    </row>
    <row r="486" spans="1:41" ht="15" customHeight="1">
      <c r="A486" s="184"/>
      <c r="B486" s="194" t="s">
        <v>294</v>
      </c>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c r="AB486" s="195"/>
      <c r="AC486" s="195"/>
      <c r="AD486" s="195"/>
      <c r="AE486" s="195"/>
      <c r="AF486" s="196"/>
      <c r="AG486" s="187"/>
      <c r="AH486" s="192"/>
    </row>
    <row r="487" spans="1:41" ht="16.899999999999999" customHeight="1">
      <c r="A487" s="184"/>
      <c r="B487" s="919" t="s">
        <v>295</v>
      </c>
      <c r="C487" s="920"/>
      <c r="D487" s="920"/>
      <c r="E487" s="920"/>
      <c r="F487" s="920"/>
      <c r="G487" s="920"/>
      <c r="H487" s="920"/>
      <c r="I487" s="920"/>
      <c r="J487" s="920"/>
      <c r="K487" s="920"/>
      <c r="L487" s="920"/>
      <c r="M487" s="920"/>
      <c r="N487" s="920"/>
      <c r="O487" s="920"/>
      <c r="P487" s="920"/>
      <c r="Q487" s="920"/>
      <c r="R487" s="920"/>
      <c r="S487" s="920"/>
      <c r="T487" s="920"/>
      <c r="U487" s="920"/>
      <c r="V487" s="920"/>
      <c r="W487" s="920"/>
      <c r="X487" s="920"/>
      <c r="Y487" s="920"/>
      <c r="Z487" s="920"/>
      <c r="AA487" s="920"/>
      <c r="AB487" s="920"/>
      <c r="AC487" s="920"/>
      <c r="AD487" s="920"/>
      <c r="AE487" s="920"/>
      <c r="AF487" s="921"/>
      <c r="AG487" s="186"/>
      <c r="AH487" s="192"/>
    </row>
    <row r="488" spans="1:41" ht="16.899999999999999" customHeight="1">
      <c r="A488" s="184"/>
      <c r="B488" s="922" t="s">
        <v>579</v>
      </c>
      <c r="C488" s="923"/>
      <c r="D488" s="923"/>
      <c r="E488" s="920"/>
      <c r="F488" s="920"/>
      <c r="G488" s="920"/>
      <c r="H488" s="920"/>
      <c r="I488" s="920"/>
      <c r="J488" s="920"/>
      <c r="K488" s="920"/>
      <c r="L488" s="920"/>
      <c r="M488" s="920"/>
      <c r="N488" s="920"/>
      <c r="O488" s="920"/>
      <c r="P488" s="920"/>
      <c r="Q488" s="920"/>
      <c r="R488" s="920"/>
      <c r="S488" s="920"/>
      <c r="T488" s="920"/>
      <c r="U488" s="920"/>
      <c r="V488" s="920"/>
      <c r="W488" s="920"/>
      <c r="X488" s="920"/>
      <c r="Y488" s="920"/>
      <c r="Z488" s="920"/>
      <c r="AA488" s="920"/>
      <c r="AB488" s="920"/>
      <c r="AC488" s="920"/>
      <c r="AD488" s="920"/>
      <c r="AE488" s="920"/>
      <c r="AF488" s="921"/>
      <c r="AG488" s="186">
        <v>0.8</v>
      </c>
      <c r="AH488" s="192"/>
    </row>
    <row r="489" spans="1:41" ht="16.899999999999999" customHeight="1">
      <c r="A489" s="184"/>
      <c r="B489" s="922" t="s">
        <v>580</v>
      </c>
      <c r="C489" s="923"/>
      <c r="D489" s="923"/>
      <c r="E489" s="920"/>
      <c r="F489" s="920"/>
      <c r="G489" s="920"/>
      <c r="H489" s="920"/>
      <c r="I489" s="920"/>
      <c r="J489" s="920"/>
      <c r="K489" s="920"/>
      <c r="L489" s="920"/>
      <c r="M489" s="920"/>
      <c r="N489" s="920"/>
      <c r="O489" s="920"/>
      <c r="P489" s="920"/>
      <c r="Q489" s="920"/>
      <c r="R489" s="920"/>
      <c r="S489" s="920"/>
      <c r="T489" s="920"/>
      <c r="U489" s="920"/>
      <c r="V489" s="920"/>
      <c r="W489" s="920"/>
      <c r="X489" s="920"/>
      <c r="Y489" s="920"/>
      <c r="Z489" s="920"/>
      <c r="AA489" s="920"/>
      <c r="AB489" s="920"/>
      <c r="AC489" s="920"/>
      <c r="AD489" s="920"/>
      <c r="AE489" s="920"/>
      <c r="AF489" s="921"/>
      <c r="AG489" s="186">
        <v>0.65</v>
      </c>
      <c r="AH489" s="192"/>
    </row>
    <row r="490" spans="1:41" ht="16.899999999999999" customHeight="1" thickBot="1">
      <c r="A490" s="197"/>
      <c r="B490" s="915" t="s">
        <v>581</v>
      </c>
      <c r="C490" s="916"/>
      <c r="D490" s="916"/>
      <c r="E490" s="917"/>
      <c r="F490" s="917"/>
      <c r="G490" s="917"/>
      <c r="H490" s="917"/>
      <c r="I490" s="917"/>
      <c r="J490" s="917"/>
      <c r="K490" s="917"/>
      <c r="L490" s="917"/>
      <c r="M490" s="917"/>
      <c r="N490" s="917"/>
      <c r="O490" s="917"/>
      <c r="P490" s="917"/>
      <c r="Q490" s="917"/>
      <c r="R490" s="917"/>
      <c r="S490" s="917"/>
      <c r="T490" s="917"/>
      <c r="U490" s="917"/>
      <c r="V490" s="917"/>
      <c r="W490" s="917"/>
      <c r="X490" s="917"/>
      <c r="Y490" s="917"/>
      <c r="Z490" s="917"/>
      <c r="AA490" s="917"/>
      <c r="AB490" s="917"/>
      <c r="AC490" s="917"/>
      <c r="AD490" s="917"/>
      <c r="AE490" s="917"/>
      <c r="AF490" s="918"/>
      <c r="AG490" s="198">
        <v>0.5</v>
      </c>
      <c r="AH490" s="199"/>
    </row>
  </sheetData>
  <mergeCells count="91">
    <mergeCell ref="B152:AF152"/>
    <mergeCell ref="B153:AF153"/>
    <mergeCell ref="AE167:AE172"/>
    <mergeCell ref="AD167:AD172"/>
    <mergeCell ref="AF167:AF168"/>
    <mergeCell ref="AF169:AF170"/>
    <mergeCell ref="B200:AF200"/>
    <mergeCell ref="B201:AF201"/>
    <mergeCell ref="B155:AF155"/>
    <mergeCell ref="AF171:AF172"/>
    <mergeCell ref="B175:AF175"/>
    <mergeCell ref="B490:AF490"/>
    <mergeCell ref="B487:AF487"/>
    <mergeCell ref="B488:AF488"/>
    <mergeCell ref="B157:X157"/>
    <mergeCell ref="A167:A171"/>
    <mergeCell ref="B167:B171"/>
    <mergeCell ref="B489:AF489"/>
    <mergeCell ref="B373:AF373"/>
    <mergeCell ref="B475:AF475"/>
    <mergeCell ref="B427:AF427"/>
    <mergeCell ref="B428:AF428"/>
    <mergeCell ref="B470:AG470"/>
    <mergeCell ref="B476:AF476"/>
    <mergeCell ref="B324:AF324"/>
    <mergeCell ref="B371:AF371"/>
    <mergeCell ref="B372:AF372"/>
    <mergeCell ref="B368:AG368"/>
    <mergeCell ref="B374:AF374"/>
    <mergeCell ref="B156:AF156"/>
    <mergeCell ref="B325:AF325"/>
    <mergeCell ref="B326:AF326"/>
    <mergeCell ref="B319:AF319"/>
    <mergeCell ref="B320:AF320"/>
    <mergeCell ref="B321:AF321"/>
    <mergeCell ref="B323:AF323"/>
    <mergeCell ref="B268:AF268"/>
    <mergeCell ref="B269:AF269"/>
    <mergeCell ref="B202:AG202"/>
    <mergeCell ref="AD208:AD209"/>
    <mergeCell ref="AD205:AD206"/>
    <mergeCell ref="B266:AF266"/>
    <mergeCell ref="B316:AF316"/>
    <mergeCell ref="B422:AG422"/>
    <mergeCell ref="B425:AF425"/>
    <mergeCell ref="B426:AF426"/>
    <mergeCell ref="AF40:AF41"/>
    <mergeCell ref="B91:AG91"/>
    <mergeCell ref="B154:AF154"/>
    <mergeCell ref="B262:AF262"/>
    <mergeCell ref="B263:AF263"/>
    <mergeCell ref="B264:AF264"/>
    <mergeCell ref="B199:AF199"/>
    <mergeCell ref="B203:AG203"/>
    <mergeCell ref="B251:AG251"/>
    <mergeCell ref="B260:AF260"/>
    <mergeCell ref="B261:AF261"/>
    <mergeCell ref="B265:AF265"/>
    <mergeCell ref="B267:AF267"/>
    <mergeCell ref="A1:AH1"/>
    <mergeCell ref="A2:AH2"/>
    <mergeCell ref="B10:AG10"/>
    <mergeCell ref="B11:AG11"/>
    <mergeCell ref="B76:AG76"/>
    <mergeCell ref="AD30:AD35"/>
    <mergeCell ref="AF30:AF31"/>
    <mergeCell ref="AD36:AD41"/>
    <mergeCell ref="AF36:AF37"/>
    <mergeCell ref="AF38:AF39"/>
    <mergeCell ref="AF32:AF33"/>
    <mergeCell ref="AF34:AF35"/>
    <mergeCell ref="B30:B35"/>
    <mergeCell ref="A30:A35"/>
    <mergeCell ref="B36:B41"/>
    <mergeCell ref="A36:A41"/>
    <mergeCell ref="B322:AF322"/>
    <mergeCell ref="B149:AG149"/>
    <mergeCell ref="B105:B110"/>
    <mergeCell ref="A105:A110"/>
    <mergeCell ref="C30:C35"/>
    <mergeCell ref="B85:AF85"/>
    <mergeCell ref="B86:AF86"/>
    <mergeCell ref="B87:AF87"/>
    <mergeCell ref="B88:AF88"/>
    <mergeCell ref="B89:AF89"/>
    <mergeCell ref="B90:AF90"/>
    <mergeCell ref="A111:A116"/>
    <mergeCell ref="B111:B116"/>
    <mergeCell ref="AD111:AD116"/>
    <mergeCell ref="AD105:AD110"/>
    <mergeCell ref="B92:AF92"/>
  </mergeCells>
  <phoneticPr fontId="48" type="noConversion"/>
  <printOptions horizontalCentered="1"/>
  <pageMargins left="0.75" right="0.5" top="0.5" bottom="0.5" header="0.5" footer="0.5"/>
  <pageSetup paperSize="9" scale="95" orientation="landscape" horizontalDpi="300" verticalDpi="300" r:id="rId1"/>
  <headerFooter alignWithMargins="0"/>
  <ignoredErrors>
    <ignoredError sqref="AG261:AG262 AF30:AF35 AG86:AG87 A12:A23 AF36:AF41 A30 E158:IX160 E171:K171 E167:K167 E169:K169 B168 F168:AB168 B173 E282:IX283 A36 A77:A83 AF171:AJ171 AF169:AJ169 AF167:AJ167 M167:V167 X167:AD167 X169:AC169 X171:AC171 M169:V169 M171:V171 AG480 A111 A168 A169 A167 A171 A105 A106:A110 A85:A104 A122:A128 A161:A166 A170 A112:A121 AG153:AJ153 A325:A490 A282:B283 B169 B167 B171 A158:B160 AG483 A42:A56 B71:B72 A60:A75 A141 A143:A157 A172:A281 A284:A321 A322:A324" numberStoredAsText="1"/>
    <ignoredError sqref="AC13:AC53 AC54:AC7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sheetPr>
  <dimension ref="A1:Y636"/>
  <sheetViews>
    <sheetView showZeros="0" topLeftCell="A583" zoomScaleNormal="100" workbookViewId="0">
      <selection activeCell="R593" sqref="R593"/>
    </sheetView>
  </sheetViews>
  <sheetFormatPr defaultColWidth="9" defaultRowHeight="13"/>
  <cols>
    <col min="1" max="1" width="6.23046875" style="18" bestFit="1" customWidth="1"/>
    <col min="2" max="2" width="38.23046875" style="20" customWidth="1"/>
    <col min="3" max="3" width="8" style="19" customWidth="1"/>
    <col min="4" max="4" width="6.23046875" style="19" customWidth="1"/>
    <col min="5" max="5" width="10.84375" style="19" bestFit="1" customWidth="1"/>
    <col min="6" max="6" width="8" style="19" customWidth="1"/>
    <col min="7" max="7" width="6.765625" style="18" customWidth="1"/>
    <col min="8" max="8" width="7.23046875" style="22" bestFit="1" customWidth="1"/>
    <col min="9" max="9" width="9.23046875" style="22" customWidth="1"/>
    <col min="10" max="10" width="9.4609375" style="742" customWidth="1"/>
    <col min="11" max="11" width="10.23046875" style="22" customWidth="1"/>
    <col min="12" max="12" width="8.765625" style="18" customWidth="1"/>
    <col min="13" max="13" width="10.53515625" style="20" customWidth="1"/>
    <col min="14" max="15" width="8.765625" style="20" customWidth="1"/>
    <col min="16" max="16" width="8.23046875" style="20" customWidth="1"/>
    <col min="17" max="18" width="8.84375" style="20" customWidth="1"/>
    <col min="19" max="19" width="22.69140625" style="20" customWidth="1"/>
    <col min="20" max="21" width="7.23046875" style="20" bestFit="1" customWidth="1"/>
    <col min="22" max="23" width="5.23046875" style="20" bestFit="1" customWidth="1"/>
    <col min="24" max="24" width="8.765625" style="20" customWidth="1"/>
    <col min="25" max="26" width="7.23046875" style="20" bestFit="1" customWidth="1"/>
    <col min="27" max="27" width="5.23046875" style="20" bestFit="1" customWidth="1"/>
    <col min="28" max="28" width="6.765625" style="20" bestFit="1" customWidth="1"/>
    <col min="29" max="29" width="9.07421875" style="20" bestFit="1" customWidth="1"/>
    <col min="30" max="30" width="7.23046875" style="20" bestFit="1" customWidth="1"/>
    <col min="31" max="31" width="8.23046875" style="20" bestFit="1" customWidth="1"/>
    <col min="32" max="32" width="5.765625" style="20" customWidth="1"/>
    <col min="33" max="33" width="7.4609375" style="20" customWidth="1"/>
    <col min="34" max="34" width="9.765625" style="20" customWidth="1"/>
    <col min="35" max="35" width="5.23046875" style="20" bestFit="1" customWidth="1"/>
    <col min="36" max="36" width="7" style="20" customWidth="1"/>
    <col min="37" max="16384" width="9" style="20"/>
  </cols>
  <sheetData>
    <row r="1" spans="1:14" s="21" customFormat="1" ht="17.5">
      <c r="A1" s="872" t="s">
        <v>592</v>
      </c>
      <c r="B1" s="872"/>
      <c r="C1" s="872"/>
      <c r="D1" s="872"/>
      <c r="E1" s="872"/>
      <c r="F1" s="872"/>
      <c r="G1" s="872"/>
      <c r="H1" s="872"/>
      <c r="I1" s="872"/>
      <c r="J1" s="872"/>
      <c r="K1" s="872"/>
      <c r="L1" s="73"/>
    </row>
    <row r="2" spans="1:14" s="23" customFormat="1" ht="23.25" customHeight="1">
      <c r="A2" s="23" t="s">
        <v>300</v>
      </c>
      <c r="B2" s="456" t="s">
        <v>457</v>
      </c>
      <c r="C2" s="457"/>
      <c r="D2" s="457"/>
      <c r="E2" s="457"/>
      <c r="F2" s="457"/>
      <c r="H2" s="285"/>
      <c r="I2" s="285"/>
      <c r="J2" s="739"/>
      <c r="K2" s="285"/>
    </row>
    <row r="3" spans="1:14" s="23" customFormat="1" ht="18.75" customHeight="1">
      <c r="A3" s="953" t="s">
        <v>23</v>
      </c>
      <c r="B3" s="700" t="s">
        <v>44</v>
      </c>
      <c r="C3" s="948" t="s">
        <v>38</v>
      </c>
      <c r="D3" s="966" t="s">
        <v>437</v>
      </c>
      <c r="E3" s="948" t="s">
        <v>16</v>
      </c>
      <c r="F3" s="701" t="s">
        <v>96</v>
      </c>
      <c r="G3" s="702" t="s">
        <v>40</v>
      </c>
      <c r="H3" s="935" t="s">
        <v>309</v>
      </c>
      <c r="I3" s="935" t="s">
        <v>417</v>
      </c>
      <c r="J3" s="927" t="s">
        <v>418</v>
      </c>
      <c r="K3" s="514" t="s">
        <v>310</v>
      </c>
    </row>
    <row r="4" spans="1:14" s="23" customFormat="1" ht="18.75" customHeight="1">
      <c r="A4" s="953"/>
      <c r="B4" s="700"/>
      <c r="C4" s="948"/>
      <c r="D4" s="948"/>
      <c r="E4" s="948"/>
      <c r="F4" s="701" t="s">
        <v>24</v>
      </c>
      <c r="G4" s="703" t="s">
        <v>39</v>
      </c>
      <c r="H4" s="933"/>
      <c r="I4" s="933"/>
      <c r="J4" s="949" t="s">
        <v>419</v>
      </c>
      <c r="K4" s="514" t="s">
        <v>419</v>
      </c>
    </row>
    <row r="5" spans="1:14" s="51" customFormat="1" ht="48.75" customHeight="1">
      <c r="A5" s="603" t="str">
        <f>L_CViec!A10</f>
        <v>I</v>
      </c>
      <c r="B5" s="685" t="str">
        <f>L_CViec!B10</f>
        <v>Đăng ký, cấp Giấy chứng nhận lần đầu đồng loạt đối hộ gia đình, cá nhân, cộng đồng dân cư, tổ chức sử dụng đất, người gốc Việt Nam định cư ở nước ngoài tại địa bàn xã, phường, đặc khu</v>
      </c>
      <c r="C5" s="616"/>
      <c r="D5" s="616"/>
      <c r="E5" s="616"/>
      <c r="F5" s="616"/>
      <c r="G5" s="616"/>
      <c r="H5" s="616"/>
      <c r="I5" s="616"/>
      <c r="J5" s="740"/>
      <c r="K5" s="514"/>
    </row>
    <row r="6" spans="1:14" s="51" customFormat="1" ht="13.15" customHeight="1">
      <c r="A6" s="967" t="s">
        <v>122</v>
      </c>
      <c r="B6" s="914" t="s">
        <v>812</v>
      </c>
      <c r="C6" s="914"/>
      <c r="D6" s="940"/>
      <c r="E6" s="223" t="s">
        <v>311</v>
      </c>
      <c r="F6" s="940">
        <v>1</v>
      </c>
      <c r="G6" s="409"/>
      <c r="H6" s="475">
        <f>L_CViec!AH11</f>
        <v>0</v>
      </c>
      <c r="I6" s="475">
        <f>SUM(I30,I40,I41,I47,I49,I61,I62,I65,I66,I69,I71,I72,I74,I78,I79,I80,I82,I84,I85,I92,I93,I94,I44,I89,I90,I91)</f>
        <v>759644.92229999998</v>
      </c>
      <c r="J6" s="475">
        <f>SUM(J30,J40,J41,J47,J49,J61,J62,J65,J66,J69,J71,J72,J74,J78,J79,J80,J82,J84,J85,J92,J93,J94,J44,J89,J90,J91)</f>
        <v>22673.665384615379</v>
      </c>
      <c r="K6" s="514" t="e">
        <f>SUM(K30,K40,K41,K47,K49,K61,K62,K65,K66,K69,K71,K72,#REF!,K74,K78,K79,K80,K82,K84,K85,K92,K93,K94)</f>
        <v>#REF!</v>
      </c>
    </row>
    <row r="7" spans="1:14" s="51" customFormat="1" ht="15" customHeight="1">
      <c r="A7" s="940"/>
      <c r="B7" s="914"/>
      <c r="C7" s="914"/>
      <c r="D7" s="940"/>
      <c r="E7" s="223" t="s">
        <v>197</v>
      </c>
      <c r="F7" s="940"/>
      <c r="G7" s="408"/>
      <c r="H7" s="475"/>
      <c r="I7" s="475">
        <f>I33+I36+I50</f>
        <v>38155.082750000001</v>
      </c>
      <c r="J7" s="475">
        <f>J33+J36+J50</f>
        <v>2454.5865384615386</v>
      </c>
      <c r="K7" s="514">
        <f>SUM(K$32,K45)</f>
        <v>0</v>
      </c>
    </row>
    <row r="8" spans="1:14" s="51" customFormat="1" ht="15" customHeight="1">
      <c r="A8" s="940"/>
      <c r="B8" s="914"/>
      <c r="C8" s="914"/>
      <c r="D8" s="940"/>
      <c r="E8" s="223" t="s">
        <v>311</v>
      </c>
      <c r="F8" s="940">
        <v>2</v>
      </c>
      <c r="G8" s="408"/>
      <c r="H8" s="475"/>
      <c r="I8" s="475">
        <f>SUM(I30,I40,I41,I47,I51,I61,I62,I65,I66,I69,I71,I72,I74,I78,I79,I80,I82,I84,I85,I92,I93,I94,I44,I45,I89,I90,I91)</f>
        <v>816254.55780000007</v>
      </c>
      <c r="J8" s="475">
        <f>SUM(J30,J40,J41,J47,J51,J61,J62,J65,J66,J69,J71,J72,J74,J78,J79,J80,J82,J84,J85,J92,J93,J94,J44,J45,J89,J90,J91)</f>
        <v>24464.126923076918</v>
      </c>
      <c r="K8" s="514" t="e">
        <f>SUM(K30,K40,K41,K47,K51,K61,K62,K65,K66,K69,K71,K72,#REF!,K74,K78,K79,K80,K82,K84,K85,K92,K93,K94)</f>
        <v>#REF!</v>
      </c>
      <c r="N8" s="462"/>
    </row>
    <row r="9" spans="1:14" s="51" customFormat="1" ht="15" customHeight="1">
      <c r="A9" s="940"/>
      <c r="B9" s="914"/>
      <c r="C9" s="914"/>
      <c r="D9" s="940"/>
      <c r="E9" s="223" t="s">
        <v>197</v>
      </c>
      <c r="F9" s="940"/>
      <c r="G9" s="408"/>
      <c r="H9" s="475"/>
      <c r="I9" s="475">
        <f>I33+I36+I52</f>
        <v>45718.032749999998</v>
      </c>
      <c r="J9" s="475">
        <f>J33+J36+J52</f>
        <v>2941.125</v>
      </c>
      <c r="K9" s="514">
        <f>SUM(K$32,K47)</f>
        <v>0</v>
      </c>
      <c r="N9" s="462"/>
    </row>
    <row r="10" spans="1:14" s="51" customFormat="1" ht="15" customHeight="1">
      <c r="A10" s="940"/>
      <c r="B10" s="914"/>
      <c r="C10" s="914"/>
      <c r="D10" s="940"/>
      <c r="E10" s="223" t="s">
        <v>311</v>
      </c>
      <c r="F10" s="940">
        <v>3</v>
      </c>
      <c r="G10" s="408"/>
      <c r="H10" s="475"/>
      <c r="I10" s="475">
        <f>SUM(I30,I40,I41,I47,I53,I61,I62,I65,I66,I69,I71,I72,I74,I78,I79,I80,I82,I84,I85,I92,I93,I94,I44,I45,I89,I90,I91)</f>
        <v>882836.31480000017</v>
      </c>
      <c r="J10" s="475">
        <f>SUM(J30,J40,J41,J47,J53,J61,J62,J65,J66,J69,J71,J72,J74,J78,J79,J80,J82,J84,J85,J92,J93,J94,J44,J45,J89,J90,J91)</f>
        <v>26565.97307692307</v>
      </c>
      <c r="K10" s="514">
        <f>SUM(K30,K41,K42,K43,K48,K50,K53,K54,K55,K58,K59,K60,K61,K62)</f>
        <v>239831.32211538465</v>
      </c>
    </row>
    <row r="11" spans="1:14" s="51" customFormat="1" ht="15" customHeight="1">
      <c r="A11" s="940"/>
      <c r="B11" s="914"/>
      <c r="C11" s="914"/>
      <c r="D11" s="940"/>
      <c r="E11" s="223" t="s">
        <v>197</v>
      </c>
      <c r="F11" s="940"/>
      <c r="G11" s="408"/>
      <c r="H11" s="475"/>
      <c r="I11" s="475">
        <f>I33+I36+I54</f>
        <v>54793.572749999999</v>
      </c>
      <c r="J11" s="475">
        <f>J33+J36+J54</f>
        <v>3524.9711538461538</v>
      </c>
      <c r="K11" s="514">
        <f>SUM(K$32,K49)</f>
        <v>0</v>
      </c>
    </row>
    <row r="12" spans="1:14" s="51" customFormat="1" ht="15" customHeight="1">
      <c r="A12" s="967" t="s">
        <v>122</v>
      </c>
      <c r="B12" s="914" t="s">
        <v>813</v>
      </c>
      <c r="C12" s="914"/>
      <c r="D12" s="940"/>
      <c r="E12" s="223" t="s">
        <v>311</v>
      </c>
      <c r="F12" s="940">
        <v>1</v>
      </c>
      <c r="G12" s="408"/>
      <c r="H12" s="475"/>
      <c r="I12" s="475">
        <f>SUM(I30,I40,I41,I47,I49,I61,I62,I65,I66,I69,I71,I72,I74,I78,I79,I82,I84,I85,I92,I93,I94,I44,I89,I90,I91)</f>
        <v>687539.92229999998</v>
      </c>
      <c r="J12" s="475">
        <f>SUM(J30,J40,J41,J47,J49,J61,J62,J65,J66,J69,J71,J72,J74,J78,J79,J82,J84,J85,J92,J93,J94,J44,J89,J90,J91)</f>
        <v>20727.511538461531</v>
      </c>
      <c r="K12" s="514"/>
    </row>
    <row r="13" spans="1:14" s="51" customFormat="1" ht="15" customHeight="1">
      <c r="A13" s="940"/>
      <c r="B13" s="914"/>
      <c r="C13" s="914"/>
      <c r="D13" s="940"/>
      <c r="E13" s="223" t="s">
        <v>197</v>
      </c>
      <c r="F13" s="940"/>
      <c r="G13" s="408"/>
      <c r="H13" s="475"/>
      <c r="I13" s="475">
        <f>I7</f>
        <v>38155.082750000001</v>
      </c>
      <c r="J13" s="475">
        <f>J7</f>
        <v>2454.5865384615386</v>
      </c>
      <c r="K13" s="514"/>
    </row>
    <row r="14" spans="1:14" s="51" customFormat="1" ht="15" customHeight="1">
      <c r="A14" s="940"/>
      <c r="B14" s="914"/>
      <c r="C14" s="914"/>
      <c r="D14" s="940"/>
      <c r="E14" s="223" t="s">
        <v>311</v>
      </c>
      <c r="F14" s="940">
        <v>2</v>
      </c>
      <c r="G14" s="408"/>
      <c r="H14" s="475"/>
      <c r="I14" s="475">
        <f>SUM(I30,I40,I41,I47,I51,I61,I62,I65,I66,I69,I71,I72,I74,I78,I79,I82,I84,I85,I92,I93,I94,I44,I45,I89,I90,I91)</f>
        <v>744149.55780000007</v>
      </c>
      <c r="J14" s="475">
        <f>SUM(J30,J40,J41,J47,J51,J61,J62,J65,J66,J69,J71,J72,J74,J78,J79,J82,J84,J85,J92,J93,J94,J44,J45,J89,J90,J91)</f>
        <v>22517.97307692307</v>
      </c>
      <c r="K14" s="514"/>
    </row>
    <row r="15" spans="1:14" s="51" customFormat="1" ht="15" customHeight="1">
      <c r="A15" s="940"/>
      <c r="B15" s="914"/>
      <c r="C15" s="914"/>
      <c r="D15" s="940"/>
      <c r="E15" s="223" t="s">
        <v>197</v>
      </c>
      <c r="F15" s="940"/>
      <c r="G15" s="408"/>
      <c r="H15" s="475"/>
      <c r="I15" s="475">
        <f>I9</f>
        <v>45718.032749999998</v>
      </c>
      <c r="J15" s="475">
        <f>J9</f>
        <v>2941.125</v>
      </c>
      <c r="K15" s="514"/>
    </row>
    <row r="16" spans="1:14" s="51" customFormat="1" ht="15" customHeight="1">
      <c r="A16" s="940"/>
      <c r="B16" s="914"/>
      <c r="C16" s="914"/>
      <c r="D16" s="940"/>
      <c r="E16" s="223" t="s">
        <v>311</v>
      </c>
      <c r="F16" s="940">
        <v>3</v>
      </c>
      <c r="G16" s="408"/>
      <c r="H16" s="475"/>
      <c r="I16" s="475">
        <f>SUM(I30,I40,I41,I47,I53,I61,I62,I65,I66,I69,I71,I72,I74,I78,I79,I82,I84,I85,I92,I93,I94,I44,I45,I89,I90,I91)</f>
        <v>810731.31480000017</v>
      </c>
      <c r="J16" s="475">
        <f>SUM(J30,J40,J41,J47,J53,J61,J62,J65,J66,J69,J71,J72,J74,J78,J79,J82,J84,J85,J92,J93,J94,J44,J45,J89,J90,J91)</f>
        <v>24619.819230769222</v>
      </c>
      <c r="K16" s="514"/>
    </row>
    <row r="17" spans="1:14" s="51" customFormat="1" ht="15" customHeight="1">
      <c r="A17" s="940"/>
      <c r="B17" s="914"/>
      <c r="C17" s="914"/>
      <c r="D17" s="940"/>
      <c r="E17" s="223" t="s">
        <v>197</v>
      </c>
      <c r="F17" s="940"/>
      <c r="G17" s="408"/>
      <c r="H17" s="475"/>
      <c r="I17" s="475">
        <f>I11</f>
        <v>54793.572749999999</v>
      </c>
      <c r="J17" s="475">
        <f>J11</f>
        <v>3524.9711538461538</v>
      </c>
      <c r="K17" s="514"/>
    </row>
    <row r="18" spans="1:14" s="51" customFormat="1" ht="15" customHeight="1">
      <c r="A18" s="940" t="s">
        <v>572</v>
      </c>
      <c r="B18" s="914" t="s">
        <v>814</v>
      </c>
      <c r="C18" s="914"/>
      <c r="D18" s="940"/>
      <c r="E18" s="223" t="s">
        <v>311</v>
      </c>
      <c r="F18" s="940">
        <v>1</v>
      </c>
      <c r="G18" s="408"/>
      <c r="H18" s="475"/>
      <c r="I18" s="475">
        <f>SUM(I30,I40,I41,I47,I55,I61,I62,I65,I66,I69,I71,I72,I74,I78,I79,I80,I82,I84,I85,I92,I93,I94,I44,I45,I89,I90,I91,I70)</f>
        <v>1179519.5478000003</v>
      </c>
      <c r="J18" s="475">
        <f>SUM(J30,J40,J41,J47,J55,J61,J62,J65,J66,J69,J71,J72,J74,J78,J79,J80,J82,J84,J85,J92,J93,J94,J44,J45,J89,J90,J91,J70)</f>
        <v>35849.126923076932</v>
      </c>
      <c r="K18" s="514"/>
    </row>
    <row r="19" spans="1:14" s="51" customFormat="1" ht="15" customHeight="1">
      <c r="A19" s="940"/>
      <c r="B19" s="914"/>
      <c r="C19" s="914"/>
      <c r="D19" s="940"/>
      <c r="E19" s="223" t="s">
        <v>197</v>
      </c>
      <c r="F19" s="940"/>
      <c r="G19" s="408"/>
      <c r="H19" s="475"/>
      <c r="I19" s="475">
        <f>I56</f>
        <v>92267.99</v>
      </c>
      <c r="J19" s="475">
        <f>J56</f>
        <v>5935.7692307692305</v>
      </c>
      <c r="K19" s="514"/>
    </row>
    <row r="20" spans="1:14" s="51" customFormat="1" ht="15" customHeight="1">
      <c r="A20" s="940"/>
      <c r="B20" s="914"/>
      <c r="C20" s="914"/>
      <c r="D20" s="940"/>
      <c r="E20" s="223" t="s">
        <v>311</v>
      </c>
      <c r="F20" s="940">
        <v>2</v>
      </c>
      <c r="G20" s="408"/>
      <c r="H20" s="475"/>
      <c r="I20" s="475">
        <f>SUM(I30,I40,I41,I47,I57,I61,I62,I65,I66,I69,I71,I72,I74,I78,I79,I80,I82,I84,I85,I92,I93,I94,I44,I45,I89,I90,I91,I70)</f>
        <v>1247334.3003</v>
      </c>
      <c r="J20" s="475">
        <f>SUM(J30,J40,J41,J47,J57,J61,J62,J65,J66,J69,J71,J72,J74,J78,J79,J80,J82,J84,J85,J92,J93,J94,J44,J45,J89,J90,J91,J70)</f>
        <v>37989.896153846152</v>
      </c>
      <c r="K20" s="514"/>
    </row>
    <row r="21" spans="1:14" s="51" customFormat="1" ht="15" customHeight="1">
      <c r="A21" s="940"/>
      <c r="B21" s="914"/>
      <c r="C21" s="914"/>
      <c r="D21" s="940"/>
      <c r="E21" s="223" t="s">
        <v>197</v>
      </c>
      <c r="F21" s="940"/>
      <c r="G21" s="408"/>
      <c r="H21" s="475"/>
      <c r="I21" s="475">
        <f>I58</f>
        <v>101343.53</v>
      </c>
      <c r="J21" s="475">
        <f>J58</f>
        <v>6519.6153846153848</v>
      </c>
      <c r="K21" s="514"/>
    </row>
    <row r="22" spans="1:14" s="51" customFormat="1" ht="15" customHeight="1">
      <c r="A22" s="940"/>
      <c r="B22" s="914"/>
      <c r="C22" s="914"/>
      <c r="D22" s="940"/>
      <c r="E22" s="223" t="s">
        <v>311</v>
      </c>
      <c r="F22" s="940">
        <v>3</v>
      </c>
      <c r="G22" s="408"/>
      <c r="H22" s="475"/>
      <c r="I22" s="475">
        <f>SUM(I30,I40,I41,I47,I59,I61,I62,I65,I66,I69,I71,I72,I74,I78,I79,I80,I82,I84,I85,I92,I93,I94,I44,I45,I89,I90,I91,I70)</f>
        <v>1321930.5280500001</v>
      </c>
      <c r="J22" s="475">
        <f>SUM(J30,J40,J41,J47,J59,J61,J62,J65,J66,J69,J71,J72,J74,J78,J79,J80,J82,J84,J85,J92,J93,J94,J44,J45,J89,J90,J91,J70)</f>
        <v>40344.742307692301</v>
      </c>
      <c r="K22" s="514"/>
    </row>
    <row r="23" spans="1:14" s="51" customFormat="1" ht="15" customHeight="1">
      <c r="A23" s="940"/>
      <c r="B23" s="914"/>
      <c r="C23" s="914"/>
      <c r="D23" s="940"/>
      <c r="E23" s="223" t="s">
        <v>197</v>
      </c>
      <c r="F23" s="940"/>
      <c r="G23" s="408"/>
      <c r="H23" s="475"/>
      <c r="I23" s="475">
        <f>I60</f>
        <v>110419.06999999999</v>
      </c>
      <c r="J23" s="475">
        <f>J60</f>
        <v>7103.4615384615381</v>
      </c>
      <c r="K23" s="514"/>
    </row>
    <row r="24" spans="1:14" s="51" customFormat="1" ht="15" customHeight="1">
      <c r="A24" s="940" t="s">
        <v>572</v>
      </c>
      <c r="B24" s="914" t="s">
        <v>815</v>
      </c>
      <c r="C24" s="914"/>
      <c r="D24" s="940"/>
      <c r="E24" s="223" t="s">
        <v>311</v>
      </c>
      <c r="F24" s="940">
        <v>1</v>
      </c>
      <c r="G24" s="408"/>
      <c r="H24" s="475"/>
      <c r="I24" s="475">
        <f>SUM(I30,I40,I41,I47,I55,I61,I62,I65,I66,I69,I71,I72,I74,I78,I79,I82,I84,I85,I92,I93,I94,I44,I45,I89,I90,I91,I70)</f>
        <v>1107414.5478000001</v>
      </c>
      <c r="J24" s="475">
        <f>SUM(J30,J40,J41,J47,J55,J61,J62,J65,J66,J69,J71,J72,J74,J78,J79,J82,J84,J85,J92,J93,J94,J44,J45,J89,J90,J91,J70)</f>
        <v>33902.973076923081</v>
      </c>
      <c r="K24" s="514"/>
    </row>
    <row r="25" spans="1:14" s="51" customFormat="1" ht="15" customHeight="1">
      <c r="A25" s="940"/>
      <c r="B25" s="914"/>
      <c r="C25" s="914"/>
      <c r="D25" s="940"/>
      <c r="E25" s="223" t="s">
        <v>197</v>
      </c>
      <c r="F25" s="940"/>
      <c r="G25" s="408"/>
      <c r="H25" s="475"/>
      <c r="I25" s="475">
        <f>I19</f>
        <v>92267.99</v>
      </c>
      <c r="J25" s="475">
        <f>J19</f>
        <v>5935.7692307692305</v>
      </c>
      <c r="K25" s="514"/>
    </row>
    <row r="26" spans="1:14" s="51" customFormat="1" ht="15" customHeight="1">
      <c r="A26" s="940"/>
      <c r="B26" s="914"/>
      <c r="C26" s="914"/>
      <c r="D26" s="940"/>
      <c r="E26" s="223" t="s">
        <v>311</v>
      </c>
      <c r="F26" s="940">
        <v>2</v>
      </c>
      <c r="G26" s="408"/>
      <c r="H26" s="475"/>
      <c r="I26" s="475">
        <f>SUM(I30,I40,I41,I47,I57,I61,I62,I65,I66,I69,I71,I72,I74,I78,I79,I82,I84,I85,I92,I93,I94,I44,I45,I89,I90,I91,I70)</f>
        <v>1175229.3003</v>
      </c>
      <c r="J26" s="475">
        <f>SUM(J30,J40,J41,J47,J57,J61,J62,J65,J66,J69,J71,J72,J74,J78,J79,J82,J84,J85,J92,J93,J94,J44,J45,J89,J90,J91,J70)</f>
        <v>36043.742307692308</v>
      </c>
      <c r="K26" s="514"/>
    </row>
    <row r="27" spans="1:14" s="51" customFormat="1" ht="15" customHeight="1">
      <c r="A27" s="940"/>
      <c r="B27" s="914"/>
      <c r="C27" s="914"/>
      <c r="D27" s="940"/>
      <c r="E27" s="223" t="s">
        <v>197</v>
      </c>
      <c r="F27" s="940"/>
      <c r="G27" s="408"/>
      <c r="H27" s="475"/>
      <c r="I27" s="475">
        <f>I21</f>
        <v>101343.53</v>
      </c>
      <c r="J27" s="475">
        <f>J21</f>
        <v>6519.6153846153848</v>
      </c>
      <c r="K27" s="514"/>
    </row>
    <row r="28" spans="1:14" s="51" customFormat="1" ht="15" customHeight="1">
      <c r="A28" s="940"/>
      <c r="B28" s="914"/>
      <c r="C28" s="914"/>
      <c r="D28" s="940"/>
      <c r="E28" s="223" t="s">
        <v>311</v>
      </c>
      <c r="F28" s="940">
        <v>3</v>
      </c>
      <c r="G28" s="408"/>
      <c r="H28" s="475"/>
      <c r="I28" s="475">
        <f>SUM(I30,I40,I41,I47,I59,I61,I62,I65,I66,I69,I71,I72,I74,I78,I79,I82,I84,I85,I92,I93,I94,I44,I45,I89,I90,I91,I70)</f>
        <v>1249825.5280500001</v>
      </c>
      <c r="J28" s="475">
        <f>SUM(J30,J40,J41,J47,J59,J61,J62,J65,J66,J69,J71,J72,J74,J78,J79,J82,J84,J85,J92,J93,J94,J44,J45,J89,J90,J91,J70)</f>
        <v>38398.588461538457</v>
      </c>
      <c r="K28" s="514"/>
    </row>
    <row r="29" spans="1:14" s="51" customFormat="1" ht="15" customHeight="1">
      <c r="A29" s="940"/>
      <c r="B29" s="914"/>
      <c r="C29" s="914"/>
      <c r="D29" s="940"/>
      <c r="E29" s="223" t="s">
        <v>197</v>
      </c>
      <c r="F29" s="940"/>
      <c r="G29" s="408"/>
      <c r="H29" s="475"/>
      <c r="I29" s="475">
        <f>I23</f>
        <v>110419.06999999999</v>
      </c>
      <c r="J29" s="475">
        <f>J23</f>
        <v>7103.4615384615381</v>
      </c>
      <c r="K29" s="514"/>
    </row>
    <row r="30" spans="1:14" s="50" customFormat="1" ht="20.25" customHeight="1">
      <c r="A30" s="223" t="str">
        <f>L_CViec!A12</f>
        <v>1</v>
      </c>
      <c r="B30" s="408" t="str">
        <f>L_CViec!B12</f>
        <v>Công việc chuẩn bị</v>
      </c>
      <c r="C30" s="226">
        <f>L_CViec!AD12</f>
        <v>0</v>
      </c>
      <c r="D30" s="483">
        <f>L_CViec!AC12</f>
        <v>0</v>
      </c>
      <c r="E30" s="226" t="s">
        <v>311</v>
      </c>
      <c r="F30" s="226">
        <f>L_CViec!AF12</f>
        <v>0</v>
      </c>
      <c r="G30" s="226">
        <f>L_CViec!AG12</f>
        <v>0</v>
      </c>
      <c r="H30" s="484">
        <f>L_CViec!AH12</f>
        <v>0</v>
      </c>
      <c r="I30" s="608">
        <f>SUM(I32,I34,I35,I39)</f>
        <v>33935.497200000005</v>
      </c>
      <c r="J30" s="741">
        <f>SUM(J33,J35,J36,J39)</f>
        <v>1007.1346153846154</v>
      </c>
      <c r="K30" s="514">
        <f>SUM(K33,K35,K36,K39)</f>
        <v>2974.399038461539</v>
      </c>
      <c r="M30" s="71"/>
    </row>
    <row r="31" spans="1:14" s="50" customFormat="1" ht="20.25" customHeight="1">
      <c r="A31" s="226"/>
      <c r="B31" s="225"/>
      <c r="C31" s="226"/>
      <c r="D31" s="483"/>
      <c r="E31" s="226" t="s">
        <v>197</v>
      </c>
      <c r="F31" s="226"/>
      <c r="G31" s="226"/>
      <c r="H31" s="484"/>
      <c r="I31" s="127"/>
      <c r="J31" s="741"/>
      <c r="K31" s="514"/>
      <c r="M31" s="71"/>
    </row>
    <row r="32" spans="1:14" s="50" customFormat="1" ht="24" customHeight="1">
      <c r="A32" s="226" t="str">
        <f>L_CViec!A13</f>
        <v>1.1</v>
      </c>
      <c r="B32" s="225" t="str">
        <f>L_CViec!B13</f>
        <v>Chuẩn bị địa điểm đăng ký</v>
      </c>
      <c r="C32" s="226" t="str">
        <f>L_CViec!AD13</f>
        <v>Điểm</v>
      </c>
      <c r="D32" s="483">
        <f>L_CViec!AC13</f>
        <v>2</v>
      </c>
      <c r="E32" s="226" t="str">
        <f>L_CViec!AE13</f>
        <v>1KS2, 1KTV4</v>
      </c>
      <c r="F32" s="226"/>
      <c r="G32" s="371">
        <f>L_CViec!AG13</f>
        <v>2</v>
      </c>
      <c r="H32" s="484">
        <f>L_CViec!AH13</f>
        <v>616497.75</v>
      </c>
      <c r="I32" s="622">
        <f>G32*H32*10/20000</f>
        <v>616.49775</v>
      </c>
      <c r="J32" s="741">
        <f>$D32*$G32*L_CBac!$J$68*10/20000</f>
        <v>19.461538461538463</v>
      </c>
      <c r="K32" s="514"/>
      <c r="M32" s="71"/>
      <c r="N32" s="71"/>
    </row>
    <row r="33" spans="1:14" s="66" customFormat="1" ht="24" customHeight="1">
      <c r="A33" s="226">
        <f>L_CViec!A14</f>
        <v>0</v>
      </c>
      <c r="B33" s="225">
        <f>L_CViec!B14</f>
        <v>0</v>
      </c>
      <c r="C33" s="226">
        <f>L_CViec!AD14</f>
        <v>0</v>
      </c>
      <c r="D33" s="483">
        <f>L_CViec!AC14</f>
        <v>1</v>
      </c>
      <c r="E33" s="226" t="str">
        <f>L_CViec!AE14</f>
        <v>LĐPT</v>
      </c>
      <c r="F33" s="226" t="str">
        <f>L_CViec!AF13</f>
        <v>1-3</v>
      </c>
      <c r="G33" s="371">
        <f>L_CViec!AG14</f>
        <v>2</v>
      </c>
      <c r="H33" s="484">
        <f>L_CViec!AH14</f>
        <v>151259</v>
      </c>
      <c r="I33" s="127">
        <f>G33*H33*10/20000</f>
        <v>151.25899999999999</v>
      </c>
      <c r="J33" s="741">
        <f>$D33*$G33*L_CBac!$J$68*10/20000</f>
        <v>9.7307692307692317</v>
      </c>
      <c r="K33" s="514">
        <f>$D33*$G33*L_CBac!$J$69*10/8000</f>
        <v>70.192307692307693</v>
      </c>
      <c r="M33" s="200"/>
      <c r="N33" s="71"/>
    </row>
    <row r="34" spans="1:14" s="66" customFormat="1" ht="39">
      <c r="A34" s="226" t="str">
        <f>L_CViec!A15</f>
        <v>1.2</v>
      </c>
      <c r="B34" s="225" t="str">
        <f>L_CViec!B15</f>
        <v>Chuẩn bị các tài liệu, bản đồ, mẫu đơn đề nghị đăng ký, cấp GCN, danh sách các trường hợp sử dụng đất theo địa điểm (theo xã, phường, )</v>
      </c>
      <c r="C34" s="226" t="str">
        <f>L_CViec!AD15</f>
        <v>Bộ tài liệu</v>
      </c>
      <c r="D34" s="483">
        <f>L_CViec!AC15</f>
        <v>3</v>
      </c>
      <c r="E34" s="226" t="str">
        <f>L_CViec!AE15</f>
        <v>1KS3, 1KS2, 1KTV4</v>
      </c>
      <c r="F34" s="226">
        <f>L_CViec!AF14</f>
        <v>0</v>
      </c>
      <c r="G34" s="371">
        <f>L_CViec!AG15</f>
        <v>16</v>
      </c>
      <c r="H34" s="484">
        <f>L_CViec!AH15</f>
        <v>977022.75</v>
      </c>
      <c r="I34" s="622">
        <f>G34*H34/20000</f>
        <v>781.6182</v>
      </c>
      <c r="J34" s="741">
        <f>$D34*$G34*L_CBac!$J$68/20000</f>
        <v>23.353846153846153</v>
      </c>
      <c r="K34" s="514"/>
      <c r="M34" s="200"/>
      <c r="N34" s="71"/>
    </row>
    <row r="35" spans="1:14" s="66" customFormat="1" ht="30.75" customHeight="1">
      <c r="A35" s="226" t="str">
        <f>L_CViec!A16</f>
        <v>1.3</v>
      </c>
      <c r="B35" s="225" t="str">
        <f>L_CViec!B16</f>
        <v>Tổ chức phổ biến, tuyên truyền chủ trương, chính sách về đăng ký, cấp GCN</v>
      </c>
      <c r="C35" s="226" t="str">
        <f>L_CViec!AD16</f>
        <v>Cuộc</v>
      </c>
      <c r="D35" s="483">
        <f>L_CViec!AC16</f>
        <v>1</v>
      </c>
      <c r="E35" s="226" t="str">
        <f>L_CViec!AE16</f>
        <v>1KS3</v>
      </c>
      <c r="F35" s="226" t="str">
        <f>L_CViec!AF15</f>
        <v>1-3</v>
      </c>
      <c r="G35" s="371">
        <f>L_CViec!AG16</f>
        <v>2.5</v>
      </c>
      <c r="H35" s="484">
        <f>L_CViec!AH16</f>
        <v>360525</v>
      </c>
      <c r="I35" s="622">
        <f>G35*H35*10/20000</f>
        <v>450.65625</v>
      </c>
      <c r="J35" s="741">
        <f>$D35*$G35*L_CBac!$J$68*10/20000</f>
        <v>12.163461538461538</v>
      </c>
      <c r="K35" s="514">
        <f>$D35*$G35*L_CBac!$J$69/8000</f>
        <v>8.7740384615384617</v>
      </c>
      <c r="M35" s="200"/>
      <c r="N35" s="71"/>
    </row>
    <row r="36" spans="1:14" s="66" customFormat="1">
      <c r="A36" s="226">
        <f>L_CViec!A17</f>
        <v>0</v>
      </c>
      <c r="B36" s="225">
        <f>L_CViec!B17</f>
        <v>0</v>
      </c>
      <c r="C36" s="226">
        <f>L_CViec!AD17</f>
        <v>0</v>
      </c>
      <c r="D36" s="483">
        <f>L_CViec!AC17</f>
        <v>1</v>
      </c>
      <c r="E36" s="226" t="str">
        <f>L_CViec!AE17</f>
        <v>LĐPT</v>
      </c>
      <c r="F36" s="226" t="str">
        <f>L_CViec!AF16</f>
        <v>1-3</v>
      </c>
      <c r="G36" s="371">
        <f>L_CViec!AG17</f>
        <v>2.5</v>
      </c>
      <c r="H36" s="484">
        <f>L_CViec!AH17</f>
        <v>151259</v>
      </c>
      <c r="I36" s="127">
        <f>G36*H36*10/20000</f>
        <v>189.07374999999999</v>
      </c>
      <c r="J36" s="741">
        <f>$D36*$G36*L_CBac!$J$68*10/20000</f>
        <v>12.163461538461538</v>
      </c>
      <c r="K36" s="514">
        <f>$D36*$G36*L_CBac!$J$69*10/8000</f>
        <v>87.740384615384613</v>
      </c>
      <c r="M36" s="200"/>
      <c r="N36" s="71"/>
    </row>
    <row r="37" spans="1:14" s="66" customFormat="1" ht="21" customHeight="1">
      <c r="A37" s="226" t="str">
        <f>L_CViec!A18</f>
        <v>1.4</v>
      </c>
      <c r="B37" s="225" t="str">
        <f>L_CViec!B18</f>
        <v>Hướng dẫn lập hồ sơ đề nghị đăng ký, cấp GCN</v>
      </c>
      <c r="C37" s="226">
        <f>L_CViec!AD18</f>
        <v>0</v>
      </c>
      <c r="D37" s="483">
        <f>L_CViec!AC18</f>
        <v>0</v>
      </c>
      <c r="E37" s="226">
        <f>L_CViec!AE18</f>
        <v>0</v>
      </c>
      <c r="F37" s="226" t="str">
        <f>L_CViec!AF17</f>
        <v>1-3</v>
      </c>
      <c r="G37" s="371">
        <f>L_CViec!AG18</f>
        <v>0</v>
      </c>
      <c r="H37" s="484">
        <f>L_CViec!AH18</f>
        <v>0</v>
      </c>
      <c r="I37" s="127">
        <f>G37*H37*10/8000</f>
        <v>0</v>
      </c>
      <c r="J37" s="741"/>
      <c r="K37" s="514"/>
      <c r="M37" s="200"/>
      <c r="N37" s="71"/>
    </row>
    <row r="38" spans="1:14" s="66" customFormat="1" ht="19.5" customHeight="1">
      <c r="A38" s="226" t="str">
        <f>L_CViec!A19</f>
        <v>1.4.1</v>
      </c>
      <c r="B38" s="225" t="str">
        <f>L_CViec!B19</f>
        <v>Theo hình thức trực tiếp</v>
      </c>
      <c r="C38" s="226" t="str">
        <f>L_CViec!AD19</f>
        <v>Hồ sơ</v>
      </c>
      <c r="D38" s="483">
        <f>L_CViec!AC19</f>
        <v>1</v>
      </c>
      <c r="E38" s="226" t="str">
        <f>L_CViec!AE19</f>
        <v>1KS2</v>
      </c>
      <c r="F38" s="224" t="str">
        <f>L_CViec!AF19</f>
        <v>1-3</v>
      </c>
      <c r="G38" s="371">
        <f>L_CViec!AG19</f>
        <v>0.15</v>
      </c>
      <c r="H38" s="484">
        <f>L_CViec!AH19</f>
        <v>320867.25</v>
      </c>
      <c r="I38" s="127">
        <f t="shared" ref="I38:I51" si="0">G38*H38</f>
        <v>48130.087500000001</v>
      </c>
      <c r="J38" s="741">
        <f>$D38*$G38*L_CBac!$J$68</f>
        <v>1459.6153846153845</v>
      </c>
      <c r="K38" s="514"/>
      <c r="M38" s="200"/>
      <c r="N38" s="71"/>
    </row>
    <row r="39" spans="1:14" s="66" customFormat="1" ht="19.5" customHeight="1">
      <c r="A39" s="226" t="str">
        <f>L_CViec!A20</f>
        <v>1.4.2</v>
      </c>
      <c r="B39" s="225" t="str">
        <f>L_CViec!B20</f>
        <v>Theo hình thức trực tuyến</v>
      </c>
      <c r="C39" s="226" t="str">
        <f>L_CViec!AD20</f>
        <v>Hồ sơ</v>
      </c>
      <c r="D39" s="483">
        <f>L_CViec!AC20</f>
        <v>1</v>
      </c>
      <c r="E39" s="226" t="str">
        <f>L_CViec!AE20</f>
        <v>1KS2</v>
      </c>
      <c r="F39" s="224" t="str">
        <f>L_CViec!AF20</f>
        <v>1-3</v>
      </c>
      <c r="G39" s="371">
        <f>L_CViec!AG20</f>
        <v>0.1</v>
      </c>
      <c r="H39" s="484">
        <f>L_CViec!AH20</f>
        <v>320867.25</v>
      </c>
      <c r="I39" s="622">
        <f t="shared" si="0"/>
        <v>32086.725000000002</v>
      </c>
      <c r="J39" s="741">
        <f>$D39*$G39*L_CBac!$J$68</f>
        <v>973.07692307692309</v>
      </c>
      <c r="K39" s="514">
        <f>$D39*$G39*L_CBac!$J$69</f>
        <v>2807.6923076923081</v>
      </c>
      <c r="M39" s="200"/>
      <c r="N39" s="71"/>
    </row>
    <row r="40" spans="1:14" s="66" customFormat="1" ht="65">
      <c r="A40" s="226" t="str">
        <f>L_CViec!A21</f>
        <v>2</v>
      </c>
      <c r="B40" s="225" t="str">
        <f>L_CViec!B21</f>
        <v>Nhận, kiểm tra tính đầy đủ của thành phần hồ sơ, tính thống nhất về nội dung thông tin giữa các giấy tờ, tính đầy đủ của nội dung kê khai và cấp Giấy tiếp nhận hồ sơ và hẹn trả kết quả hoặc trả lại hồ sơ, vào sổ theo dõi nhận, trả hồ sơ (theo hình thức trực tiếp, trực tuyến)</v>
      </c>
      <c r="C40" s="226" t="str">
        <f>L_CViec!AD21</f>
        <v>Hồ sơ</v>
      </c>
      <c r="D40" s="483">
        <f>L_CViec!AC21</f>
        <v>1</v>
      </c>
      <c r="E40" s="226" t="str">
        <f>L_CViec!AE21</f>
        <v>1KS2</v>
      </c>
      <c r="F40" s="224" t="str">
        <f>L_CViec!AF21</f>
        <v>1-3</v>
      </c>
      <c r="G40" s="371">
        <f>L_CViec!AG21</f>
        <v>0.2</v>
      </c>
      <c r="H40" s="484">
        <f>L_CViec!AH21</f>
        <v>320867.25</v>
      </c>
      <c r="I40" s="608">
        <f>G40*H40</f>
        <v>64173.450000000004</v>
      </c>
      <c r="J40" s="741">
        <f>$D40*$G40*L_CBac!$J$68</f>
        <v>1946.1538461538462</v>
      </c>
      <c r="K40" s="514">
        <f>$D40*$G40*L_CBac!$J$69</f>
        <v>5615.3846153846162</v>
      </c>
      <c r="M40" s="200"/>
      <c r="N40" s="71"/>
    </row>
    <row r="41" spans="1:14" s="50" customFormat="1" ht="26">
      <c r="A41" s="226" t="str">
        <f>L_CViec!A22</f>
        <v>3</v>
      </c>
      <c r="B41" s="225" t="str">
        <f>L_CViec!B22</f>
        <v>Tạo tệp (File) dữ liệu hồ sơ số và nhập thông tin do người sử dụng đất kê khai, đăng ký</v>
      </c>
      <c r="C41" s="226" t="str">
        <f>L_CViec!AD22</f>
        <v>Thửa</v>
      </c>
      <c r="D41" s="483">
        <f>L_CViec!AC22</f>
        <v>1</v>
      </c>
      <c r="E41" s="226" t="str">
        <f>L_CViec!AE22</f>
        <v>1KS2</v>
      </c>
      <c r="F41" s="224" t="str">
        <f>L_CViec!AF22</f>
        <v>1-3</v>
      </c>
      <c r="G41" s="371">
        <f>L_CViec!AG22</f>
        <v>0.107</v>
      </c>
      <c r="H41" s="484">
        <f>L_CViec!AH22</f>
        <v>320867.25</v>
      </c>
      <c r="I41" s="608">
        <f t="shared" si="0"/>
        <v>34332.795749999997</v>
      </c>
      <c r="J41" s="741">
        <f>$D41*$G41*L_CBac!$J$68</f>
        <v>1041.1923076923076</v>
      </c>
      <c r="K41" s="514">
        <f>$D41*$G41*L_CBac!$J$69</f>
        <v>3004.2307692307695</v>
      </c>
      <c r="M41" s="200"/>
      <c r="N41" s="71"/>
    </row>
    <row r="42" spans="1:14" s="50" customFormat="1" ht="26">
      <c r="A42" s="487" t="str">
        <f>L_CViec!A23</f>
        <v>4</v>
      </c>
      <c r="B42" s="488" t="str">
        <f>L_CViec!B23</f>
        <v>Quét giấy tờ pháp lý về quyền sử dụng đất, quyền sở hữu nhà ở và tài sản khác gắn liền với đất</v>
      </c>
      <c r="C42" s="487">
        <f>L_CViec!AD23</f>
        <v>0</v>
      </c>
      <c r="D42" s="489">
        <f>L_CViec!AC23</f>
        <v>0</v>
      </c>
      <c r="E42" s="487">
        <f>L_CViec!AE23</f>
        <v>0</v>
      </c>
      <c r="F42" s="490">
        <f>L_CViec!AF23</f>
        <v>0</v>
      </c>
      <c r="G42" s="491">
        <f>L_CViec!AG23</f>
        <v>0</v>
      </c>
      <c r="H42" s="492">
        <f>L_CViec!AH23</f>
        <v>0</v>
      </c>
      <c r="I42" s="493">
        <f t="shared" si="0"/>
        <v>0</v>
      </c>
      <c r="J42" s="741">
        <f>$D42*$G42*L_CBac!$J$68</f>
        <v>0</v>
      </c>
      <c r="K42" s="514">
        <f>$D42*$G42*L_CBac!$J$69</f>
        <v>0</v>
      </c>
      <c r="M42" s="200"/>
      <c r="N42" s="71"/>
    </row>
    <row r="43" spans="1:14" s="50" customFormat="1">
      <c r="A43" s="487">
        <f>L_CViec!A24</f>
        <v>4.0999999999999996</v>
      </c>
      <c r="B43" s="494" t="str">
        <f>L_CViec!B24</f>
        <v>Quét trang A3</v>
      </c>
      <c r="C43" s="487" t="str">
        <f>L_CViec!AD24</f>
        <v>Trang</v>
      </c>
      <c r="D43" s="489">
        <f>L_CViec!AC24</f>
        <v>1</v>
      </c>
      <c r="E43" s="487" t="str">
        <f>L_CViec!AE24</f>
        <v>1KS1</v>
      </c>
      <c r="F43" s="490" t="str">
        <f>L_CViec!AF24</f>
        <v>1-3</v>
      </c>
      <c r="G43" s="491">
        <f>L_CViec!AG24</f>
        <v>1.6E-2</v>
      </c>
      <c r="H43" s="492">
        <f>L_CViec!AH24</f>
        <v>281209.5</v>
      </c>
      <c r="I43" s="493">
        <f t="shared" si="0"/>
        <v>4499.3519999999999</v>
      </c>
      <c r="J43" s="741">
        <f>$D43*$G43*L_CBac!$J$68</f>
        <v>155.69230769230768</v>
      </c>
      <c r="K43" s="514">
        <f>$D43*$G43*L_CBac!$J$69</f>
        <v>449.23076923076928</v>
      </c>
      <c r="M43" s="200"/>
      <c r="N43" s="71"/>
    </row>
    <row r="44" spans="1:14" s="50" customFormat="1">
      <c r="A44" s="487">
        <f>L_CViec!A25</f>
        <v>4.2</v>
      </c>
      <c r="B44" s="494" t="str">
        <f>L_CViec!B25</f>
        <v>Quét trang A4</v>
      </c>
      <c r="C44" s="487" t="str">
        <f>L_CViec!AD25</f>
        <v>Trang</v>
      </c>
      <c r="D44" s="489">
        <f>L_CViec!AC25</f>
        <v>1</v>
      </c>
      <c r="E44" s="487" t="str">
        <f>L_CViec!AE25</f>
        <v>1KS1</v>
      </c>
      <c r="F44" s="490" t="str">
        <f>L_CViec!AF25</f>
        <v>1-3</v>
      </c>
      <c r="G44" s="491">
        <f>L_CViec!AG25</f>
        <v>8.0000000000000002E-3</v>
      </c>
      <c r="H44" s="492">
        <f>L_CViec!AH25</f>
        <v>281209.5</v>
      </c>
      <c r="I44" s="493">
        <f t="shared" si="0"/>
        <v>2249.6759999999999</v>
      </c>
      <c r="J44" s="741">
        <f>$D44*$G44*L_CBac!$J$68</f>
        <v>77.84615384615384</v>
      </c>
      <c r="K44" s="514">
        <f>$D44*$G44*L_CBac!$J$69</f>
        <v>224.61538461538464</v>
      </c>
      <c r="M44" s="200"/>
      <c r="N44" s="71"/>
    </row>
    <row r="45" spans="1:14" s="50" customFormat="1" ht="26">
      <c r="A45" s="487">
        <f>L_CViec!A26</f>
        <v>5</v>
      </c>
      <c r="B45" s="494" t="str">
        <f>L_CViec!B26</f>
        <v>Xử lý các tệp tin quét thành tệp (File) hồ sơ quét dạng số của thửa đất, lưu trữ dưới khuôn dạng tệp tin PDF</v>
      </c>
      <c r="C45" s="487" t="str">
        <f>L_CViec!AD26</f>
        <v>Trang</v>
      </c>
      <c r="D45" s="489">
        <f>L_CViec!AC26</f>
        <v>1</v>
      </c>
      <c r="E45" s="487" t="str">
        <f>L_CViec!AE26</f>
        <v>1KS1</v>
      </c>
      <c r="F45" s="490" t="str">
        <f>L_CViec!AF26</f>
        <v>1-3</v>
      </c>
      <c r="G45" s="491">
        <f>L_CViec!AG26</f>
        <v>4.0000000000000001E-3</v>
      </c>
      <c r="H45" s="492">
        <f>L_CViec!AH26</f>
        <v>281209.5</v>
      </c>
      <c r="I45" s="493">
        <f t="shared" si="0"/>
        <v>1124.838</v>
      </c>
      <c r="J45" s="741">
        <f>$D45*$G45*L_CBac!$J$68</f>
        <v>38.92307692307692</v>
      </c>
      <c r="K45" s="514"/>
      <c r="M45" s="200"/>
      <c r="N45" s="71"/>
    </row>
    <row r="46" spans="1:14" s="50" customFormat="1" ht="30.75" customHeight="1">
      <c r="A46" s="487">
        <f>L_CViec!A27</f>
        <v>6</v>
      </c>
      <c r="B46" s="494" t="str">
        <f>L_CViec!B27</f>
        <v>Trích lục bản đồ địa chính đối với nơi đã có bản đồ địa chính</v>
      </c>
      <c r="C46" s="487">
        <f>L_CViec!AD27</f>
        <v>0</v>
      </c>
      <c r="D46" s="489">
        <f>L_CViec!AC27</f>
        <v>0</v>
      </c>
      <c r="E46" s="487">
        <f>L_CViec!AE27</f>
        <v>0</v>
      </c>
      <c r="F46" s="490">
        <f>L_CViec!AF27</f>
        <v>0</v>
      </c>
      <c r="G46" s="491">
        <f>L_CViec!AG27</f>
        <v>0</v>
      </c>
      <c r="H46" s="492">
        <f>L_CViec!AH27</f>
        <v>0</v>
      </c>
      <c r="I46" s="493">
        <f t="shared" si="0"/>
        <v>0</v>
      </c>
      <c r="J46" s="741">
        <f>$D46*$G46*L_CBac!$J$68</f>
        <v>0</v>
      </c>
      <c r="K46" s="514">
        <f>$D46*$G46*L_CBac!$J$69</f>
        <v>0</v>
      </c>
      <c r="M46" s="200"/>
      <c r="N46" s="71"/>
    </row>
    <row r="47" spans="1:14" s="50" customFormat="1">
      <c r="A47" s="487">
        <f>L_CViec!A28</f>
        <v>6.1</v>
      </c>
      <c r="B47" s="494" t="str">
        <f>L_CViec!B28</f>
        <v>Trích lục trên bản đồ dạng số</v>
      </c>
      <c r="C47" s="487" t="str">
        <f>L_CViec!AD28</f>
        <v>Thửa</v>
      </c>
      <c r="D47" s="489">
        <f>L_CViec!AC28</f>
        <v>1</v>
      </c>
      <c r="E47" s="487" t="str">
        <f>L_CViec!AE28</f>
        <v>1KS2</v>
      </c>
      <c r="F47" s="490" t="str">
        <f>L_CViec!AF28</f>
        <v>1-3</v>
      </c>
      <c r="G47" s="491">
        <f>L_CViec!AG28</f>
        <v>0.04</v>
      </c>
      <c r="H47" s="492">
        <f>L_CViec!AH28</f>
        <v>320867.25</v>
      </c>
      <c r="I47" s="617">
        <f t="shared" si="0"/>
        <v>12834.69</v>
      </c>
      <c r="J47" s="741">
        <f>$D47*$G47*L_CBac!$J$68</f>
        <v>389.23076923076923</v>
      </c>
      <c r="K47" s="514"/>
      <c r="M47" s="200"/>
      <c r="N47" s="71"/>
    </row>
    <row r="48" spans="1:14" s="50" customFormat="1">
      <c r="A48" s="487">
        <f>L_CViec!A29</f>
        <v>6.2</v>
      </c>
      <c r="B48" s="494" t="str">
        <f>L_CViec!B29</f>
        <v>Trích lục trên bản đồ dạng giấy</v>
      </c>
      <c r="C48" s="487" t="str">
        <f>L_CViec!AD29</f>
        <v>Thửa</v>
      </c>
      <c r="D48" s="489">
        <f>L_CViec!AC29</f>
        <v>1</v>
      </c>
      <c r="E48" s="487" t="str">
        <f>L_CViec!AE29</f>
        <v>1KS2</v>
      </c>
      <c r="F48" s="490" t="str">
        <f>L_CViec!AF29</f>
        <v>1-3</v>
      </c>
      <c r="G48" s="491">
        <f>L_CViec!AG29</f>
        <v>0.08</v>
      </c>
      <c r="H48" s="492">
        <f>L_CViec!AH29</f>
        <v>320867.25</v>
      </c>
      <c r="I48" s="493">
        <f t="shared" si="0"/>
        <v>25669.38</v>
      </c>
      <c r="J48" s="741">
        <f>$D48*$G48*L_CBac!$J$68</f>
        <v>778.46153846153845</v>
      </c>
      <c r="K48" s="514">
        <f>$D48*$G48*L_CBac!$J$69</f>
        <v>2246.1538461538462</v>
      </c>
      <c r="M48" s="200"/>
      <c r="N48" s="71"/>
    </row>
    <row r="49" spans="1:14" s="50" customFormat="1">
      <c r="A49" s="968" t="str">
        <f>L_CViec!A30</f>
        <v>7</v>
      </c>
      <c r="B49" s="968" t="str">
        <f>L_CViec!B30</f>
        <v>Xác nhận hiện trạng sử dụng đất có hay không có nhà ở, công trình xây dựng; tình trạng tranh chấp đất đai, tài sản gắn liền với đất; xác định đất sử dụng ổn định; xác định nguồn gốc sử dụng đất; xác nhận sự phù hợp với quy hoạch</v>
      </c>
      <c r="C49" s="487" t="str">
        <f>L_CViec!AD30</f>
        <v>Hồ sơ</v>
      </c>
      <c r="D49" s="489">
        <f>L_CViec!AC30</f>
        <v>2</v>
      </c>
      <c r="E49" s="487" t="str">
        <f>L_CViec!AE30</f>
        <v>1KS2, 1KTV4</v>
      </c>
      <c r="F49" s="490" t="str">
        <f>L_CViec!AF30</f>
        <v>1</v>
      </c>
      <c r="G49" s="491">
        <f>L_CViec!AG30</f>
        <v>0.45</v>
      </c>
      <c r="H49" s="492">
        <f>L_CViec!AH30</f>
        <v>616497.75</v>
      </c>
      <c r="I49" s="617">
        <f>G49*H49</f>
        <v>277423.98749999999</v>
      </c>
      <c r="J49" s="741">
        <f>$D49*$G49*L_CBac!$J$68</f>
        <v>8757.6923076923085</v>
      </c>
      <c r="K49" s="514"/>
      <c r="M49" s="200"/>
      <c r="N49" s="71"/>
    </row>
    <row r="50" spans="1:14" s="183" customFormat="1">
      <c r="A50" s="968"/>
      <c r="B50" s="968"/>
      <c r="C50" s="487">
        <f>L_CViec!AD31</f>
        <v>0</v>
      </c>
      <c r="D50" s="489">
        <f>L_CViec!AC31</f>
        <v>1</v>
      </c>
      <c r="E50" s="487" t="str">
        <f>L_CViec!AE31</f>
        <v>LĐPT</v>
      </c>
      <c r="F50" s="490">
        <f>L_CViec!AF31</f>
        <v>0</v>
      </c>
      <c r="G50" s="491">
        <f>L_CViec!AG31</f>
        <v>0.25</v>
      </c>
      <c r="H50" s="492">
        <f>L_CViec!AH31</f>
        <v>151259</v>
      </c>
      <c r="I50" s="493">
        <f>G50*H50</f>
        <v>37814.75</v>
      </c>
      <c r="J50" s="741">
        <f>$D50*$G50*L_CBac!$J$68</f>
        <v>2432.6923076923076</v>
      </c>
      <c r="K50" s="514">
        <f>$D50*$G50*L_CBac!$J$69</f>
        <v>7019.2307692307695</v>
      </c>
      <c r="M50" s="302"/>
      <c r="N50" s="303"/>
    </row>
    <row r="51" spans="1:14" s="50" customFormat="1">
      <c r="A51" s="968"/>
      <c r="B51" s="968"/>
      <c r="C51" s="487">
        <f>L_CViec!AD32</f>
        <v>0</v>
      </c>
      <c r="D51" s="489">
        <f>L_CViec!AC32</f>
        <v>2</v>
      </c>
      <c r="E51" s="487" t="str">
        <f>L_CViec!AE32</f>
        <v>1KS2, 1KTV4</v>
      </c>
      <c r="F51" s="490" t="str">
        <f>L_CViec!AF32</f>
        <v>2</v>
      </c>
      <c r="G51" s="491">
        <f>L_CViec!AG32</f>
        <v>0.54</v>
      </c>
      <c r="H51" s="492">
        <f>L_CViec!AH32</f>
        <v>616497.75</v>
      </c>
      <c r="I51" s="618">
        <f t="shared" si="0"/>
        <v>332908.78500000003</v>
      </c>
      <c r="J51" s="741">
        <f>$D51*$G51*L_CBac!$J$68</f>
        <v>10509.23076923077</v>
      </c>
      <c r="K51" s="514"/>
      <c r="M51" s="200"/>
      <c r="N51" s="71"/>
    </row>
    <row r="52" spans="1:14" s="66" customFormat="1">
      <c r="A52" s="968"/>
      <c r="B52" s="968"/>
      <c r="C52" s="487">
        <f>L_CViec!AD33</f>
        <v>0</v>
      </c>
      <c r="D52" s="489">
        <f>L_CViec!AC33</f>
        <v>1</v>
      </c>
      <c r="E52" s="487" t="str">
        <f>L_CViec!AE33</f>
        <v>LĐPT</v>
      </c>
      <c r="F52" s="490">
        <f>L_CViec!AF33</f>
        <v>0</v>
      </c>
      <c r="G52" s="491">
        <f>L_CViec!AG33</f>
        <v>0.3</v>
      </c>
      <c r="H52" s="492">
        <f>L_CViec!AH33</f>
        <v>151259</v>
      </c>
      <c r="I52" s="493">
        <f t="shared" ref="I52:I57" si="1">G52*H52</f>
        <v>45377.7</v>
      </c>
      <c r="J52" s="741">
        <f>$D52*$G52*L_CBac!$J$68</f>
        <v>2919.2307692307691</v>
      </c>
      <c r="K52" s="514">
        <f>$D52*$G52*L_CBac!$J$69</f>
        <v>8423.0769230769238</v>
      </c>
      <c r="M52" s="200"/>
      <c r="N52" s="71"/>
    </row>
    <row r="53" spans="1:14" s="66" customFormat="1">
      <c r="A53" s="968"/>
      <c r="B53" s="968"/>
      <c r="C53" s="487">
        <f>L_CViec!AD34</f>
        <v>0</v>
      </c>
      <c r="D53" s="489">
        <f>L_CViec!AC34</f>
        <v>2</v>
      </c>
      <c r="E53" s="487" t="str">
        <f>L_CViec!AE34</f>
        <v>1KS2, 1KTV4</v>
      </c>
      <c r="F53" s="490" t="str">
        <f>L_CViec!AF34</f>
        <v>3</v>
      </c>
      <c r="G53" s="491">
        <f>L_CViec!AG34</f>
        <v>0.64800000000000002</v>
      </c>
      <c r="H53" s="492">
        <f>L_CViec!AH34</f>
        <v>616497.75</v>
      </c>
      <c r="I53" s="619">
        <f t="shared" si="1"/>
        <v>399490.54200000002</v>
      </c>
      <c r="J53" s="741">
        <f>$D53*$G53*L_CBac!$J$68</f>
        <v>12611.076923076924</v>
      </c>
      <c r="K53" s="514">
        <f>$D53*$G53*L_CBac!$J$69</f>
        <v>36387.692307692312</v>
      </c>
      <c r="M53" s="200"/>
      <c r="N53" s="71"/>
    </row>
    <row r="54" spans="1:14" s="50" customFormat="1">
      <c r="A54" s="968"/>
      <c r="B54" s="968"/>
      <c r="C54" s="487">
        <f>L_CViec!AD35</f>
        <v>0</v>
      </c>
      <c r="D54" s="489">
        <f>L_CViec!AC35</f>
        <v>1</v>
      </c>
      <c r="E54" s="487" t="str">
        <f>L_CViec!AE35</f>
        <v>LĐPT</v>
      </c>
      <c r="F54" s="490">
        <f>L_CViec!AF35</f>
        <v>0</v>
      </c>
      <c r="G54" s="491">
        <f>L_CViec!AG35</f>
        <v>0.36</v>
      </c>
      <c r="H54" s="492">
        <f>L_CViec!AH35</f>
        <v>151259</v>
      </c>
      <c r="I54" s="493">
        <f t="shared" si="1"/>
        <v>54453.24</v>
      </c>
      <c r="J54" s="741">
        <f>$D54*$G54*L_CBac!$J$68</f>
        <v>3503.0769230769229</v>
      </c>
      <c r="K54" s="514">
        <f>$D54*$G54*L_CBac!$J$69</f>
        <v>10107.692307692309</v>
      </c>
      <c r="M54" s="200"/>
      <c r="N54" s="71"/>
    </row>
    <row r="55" spans="1:14" s="50" customFormat="1">
      <c r="A55" s="951" t="str">
        <f>L_CViec!A36</f>
        <v>8</v>
      </c>
      <c r="B55" s="951" t="str">
        <f>L_CViec!B36</f>
        <v xml:space="preserve">Kiểm tra thực tế sử dụng đất của tổ chức, xác định ranh giới cụ thể của thửa đất đối với tổ chức </v>
      </c>
      <c r="C55" s="226" t="str">
        <f>L_CViec!AD36</f>
        <v>Hồ sơ</v>
      </c>
      <c r="D55" s="483">
        <f>L_CViec!AC36</f>
        <v>2</v>
      </c>
      <c r="E55" s="226" t="str">
        <f>L_CViec!AE36</f>
        <v>1KS2, 1KTV4</v>
      </c>
      <c r="F55" s="224" t="str">
        <f>L_CViec!AF36</f>
        <v>1</v>
      </c>
      <c r="G55" s="371">
        <f>L_CViec!AG36</f>
        <v>1.1000000000000001</v>
      </c>
      <c r="H55" s="484">
        <f>L_CViec!AH36</f>
        <v>616497.75</v>
      </c>
      <c r="I55" s="127">
        <f t="shared" si="1"/>
        <v>678147.52500000002</v>
      </c>
      <c r="J55" s="741">
        <f>$D55*$G55*L_CBac!$J$68</f>
        <v>21407.692307692309</v>
      </c>
      <c r="K55" s="514">
        <f>$D55*$G55*L_CBac!$J$69</f>
        <v>61769.230769230773</v>
      </c>
      <c r="M55" s="200"/>
      <c r="N55" s="71"/>
    </row>
    <row r="56" spans="1:14" s="50" customFormat="1">
      <c r="A56" s="951"/>
      <c r="B56" s="951"/>
      <c r="C56" s="226">
        <f>L_CViec!AD37</f>
        <v>0</v>
      </c>
      <c r="D56" s="483">
        <f>L_CViec!AC37</f>
        <v>1</v>
      </c>
      <c r="E56" s="226" t="str">
        <f>L_CViec!AE37</f>
        <v>LĐPT</v>
      </c>
      <c r="F56" s="224">
        <f>L_CViec!AF37</f>
        <v>0</v>
      </c>
      <c r="G56" s="371">
        <f>L_CViec!AG37</f>
        <v>0.61</v>
      </c>
      <c r="H56" s="484">
        <f>L_CViec!AH37</f>
        <v>151259</v>
      </c>
      <c r="I56" s="127">
        <f t="shared" si="1"/>
        <v>92267.99</v>
      </c>
      <c r="J56" s="741">
        <f>$D56*$G56*L_CBac!$J$68</f>
        <v>5935.7692307692305</v>
      </c>
      <c r="K56" s="514"/>
      <c r="M56" s="200"/>
      <c r="N56" s="71"/>
    </row>
    <row r="57" spans="1:14" s="66" customFormat="1">
      <c r="A57" s="951"/>
      <c r="B57" s="951"/>
      <c r="C57" s="226">
        <f>L_CViec!AD38</f>
        <v>0</v>
      </c>
      <c r="D57" s="483">
        <f>L_CViec!AC38</f>
        <v>2</v>
      </c>
      <c r="E57" s="226" t="str">
        <f>L_CViec!AE38</f>
        <v>1KS2, 1KTV4</v>
      </c>
      <c r="F57" s="224" t="str">
        <f>L_CViec!AF38</f>
        <v>2</v>
      </c>
      <c r="G57" s="371">
        <f>L_CViec!AG38</f>
        <v>1.21</v>
      </c>
      <c r="H57" s="484">
        <f>L_CViec!AH38</f>
        <v>616497.75</v>
      </c>
      <c r="I57" s="127">
        <f t="shared" si="1"/>
        <v>745962.27749999997</v>
      </c>
      <c r="J57" s="741">
        <f>$D57*$G57*L_CBac!$J$68</f>
        <v>23548.461538461535</v>
      </c>
      <c r="K57" s="514">
        <f>$D57*$G57*L_CBac!$J$69</f>
        <v>67946.153846153844</v>
      </c>
      <c r="M57" s="200"/>
      <c r="N57" s="71"/>
    </row>
    <row r="58" spans="1:14" s="66" customFormat="1">
      <c r="A58" s="951"/>
      <c r="B58" s="951"/>
      <c r="C58" s="226">
        <f>L_CViec!AD39</f>
        <v>0</v>
      </c>
      <c r="D58" s="483">
        <f>L_CViec!AC39</f>
        <v>1</v>
      </c>
      <c r="E58" s="226" t="str">
        <f>L_CViec!AE39</f>
        <v>LĐPT</v>
      </c>
      <c r="F58" s="224">
        <f>L_CViec!AF39</f>
        <v>0</v>
      </c>
      <c r="G58" s="371">
        <f>L_CViec!AG39</f>
        <v>0.67</v>
      </c>
      <c r="H58" s="484">
        <f>L_CViec!AH39</f>
        <v>151259</v>
      </c>
      <c r="I58" s="127">
        <f t="shared" ref="I58:I62" si="2">G58*H58</f>
        <v>101343.53</v>
      </c>
      <c r="J58" s="741">
        <f>$D58*$G58*L_CBac!$J$68</f>
        <v>6519.6153846153848</v>
      </c>
      <c r="K58" s="514">
        <f>$D58*$G58*L_CBac!$J$69</f>
        <v>18811.538461538465</v>
      </c>
      <c r="M58" s="200"/>
      <c r="N58" s="71"/>
    </row>
    <row r="59" spans="1:14" s="50" customFormat="1">
      <c r="A59" s="951"/>
      <c r="B59" s="951"/>
      <c r="C59" s="226">
        <f>L_CViec!AD40</f>
        <v>0</v>
      </c>
      <c r="D59" s="483">
        <f>L_CViec!AC40</f>
        <v>2</v>
      </c>
      <c r="E59" s="226" t="str">
        <f>L_CViec!AE40</f>
        <v>1KS2, 1KTV4</v>
      </c>
      <c r="F59" s="224" t="str">
        <f>L_CViec!AF40</f>
        <v>3</v>
      </c>
      <c r="G59" s="371">
        <f>L_CViec!AG40</f>
        <v>1.331</v>
      </c>
      <c r="H59" s="484">
        <f>L_CViec!AH40</f>
        <v>616497.75</v>
      </c>
      <c r="I59" s="127">
        <f t="shared" si="2"/>
        <v>820558.50524999993</v>
      </c>
      <c r="J59" s="741">
        <f>$D59*$G59*L_CBac!$J$68</f>
        <v>25903.307692307691</v>
      </c>
      <c r="K59" s="514">
        <f>$D59*$G59*L_CBac!$J$69</f>
        <v>74740.769230769234</v>
      </c>
      <c r="M59" s="200"/>
      <c r="N59" s="71"/>
    </row>
    <row r="60" spans="1:14" s="183" customFormat="1">
      <c r="A60" s="951"/>
      <c r="B60" s="951"/>
      <c r="C60" s="226">
        <f>L_CViec!AD41</f>
        <v>0</v>
      </c>
      <c r="D60" s="483">
        <f>L_CViec!AC41</f>
        <v>1</v>
      </c>
      <c r="E60" s="226" t="str">
        <f>L_CViec!AE41</f>
        <v>LĐPT</v>
      </c>
      <c r="F60" s="224">
        <f>L_CViec!AF41</f>
        <v>0</v>
      </c>
      <c r="G60" s="371">
        <f>L_CViec!AG41</f>
        <v>0.73</v>
      </c>
      <c r="H60" s="484">
        <f>L_CViec!AH41</f>
        <v>151259</v>
      </c>
      <c r="I60" s="493">
        <f t="shared" si="2"/>
        <v>110419.06999999999</v>
      </c>
      <c r="J60" s="741">
        <f>$D60*$G60*L_CBac!$J$68</f>
        <v>7103.4615384615381</v>
      </c>
      <c r="K60" s="514">
        <f>$D60*$G60*L_CBac!$J$69</f>
        <v>20496.153846153848</v>
      </c>
      <c r="M60" s="302"/>
      <c r="N60" s="303"/>
    </row>
    <row r="61" spans="1:14" s="50" customFormat="1" ht="26">
      <c r="A61" s="226" t="str">
        <f>L_CViec!A42</f>
        <v>9</v>
      </c>
      <c r="B61" s="227" t="str">
        <f>L_CViec!B42</f>
        <v>Lập biên bản kiểm tra việc sử dụng đất, ranh giới sử dụng đất của tổ chức</v>
      </c>
      <c r="C61" s="226" t="str">
        <f>L_CViec!AD42</f>
        <v>Hồ sơ</v>
      </c>
      <c r="D61" s="483">
        <f>L_CViec!AC42</f>
        <v>1</v>
      </c>
      <c r="E61" s="226" t="str">
        <f>L_CViec!AE42</f>
        <v>1KS2</v>
      </c>
      <c r="F61" s="224" t="str">
        <f>L_CViec!AF42</f>
        <v>1-3</v>
      </c>
      <c r="G61" s="371">
        <f>L_CViec!AG42</f>
        <v>0.05</v>
      </c>
      <c r="H61" s="484">
        <f>L_CViec!AH42</f>
        <v>320867.25</v>
      </c>
      <c r="I61" s="608">
        <f t="shared" si="2"/>
        <v>16043.362500000001</v>
      </c>
      <c r="J61" s="741">
        <f>$D61*$G61*L_CBac!$J$68</f>
        <v>486.53846153846155</v>
      </c>
      <c r="K61" s="514">
        <f>$D61*$G61*L_CBac!$J$69</f>
        <v>1403.846153846154</v>
      </c>
      <c r="M61" s="200"/>
      <c r="N61" s="71"/>
    </row>
    <row r="62" spans="1:14" s="50" customFormat="1" ht="26">
      <c r="A62" s="226" t="str">
        <f>L_CViec!A43</f>
        <v>10</v>
      </c>
      <c r="B62" s="227" t="str">
        <f>L_CViec!B43</f>
        <v>Niêm yết công khai các nội dung xác nhận tại trụ sở Ủy ban nhân dân cấp xã,phường,, khu dân cư nơi có đất</v>
      </c>
      <c r="C62" s="226" t="str">
        <f>L_CViec!AD43</f>
        <v>Hồ sơ</v>
      </c>
      <c r="D62" s="483">
        <f>L_CViec!AC43</f>
        <v>1</v>
      </c>
      <c r="E62" s="226" t="str">
        <f>L_CViec!AE43</f>
        <v>1KTV4</v>
      </c>
      <c r="F62" s="224" t="str">
        <f>L_CViec!AF43</f>
        <v>1-3</v>
      </c>
      <c r="G62" s="371">
        <f>L_CViec!AG43</f>
        <v>1.4999999999999999E-2</v>
      </c>
      <c r="H62" s="484">
        <f>L_CViec!AH43</f>
        <v>295630.50000000006</v>
      </c>
      <c r="I62" s="608">
        <f t="shared" si="2"/>
        <v>4434.4575000000004</v>
      </c>
      <c r="J62" s="741">
        <f>$D62*$G62*L_CBac!$J$68</f>
        <v>145.96153846153845</v>
      </c>
      <c r="K62" s="514">
        <f>$D62*$G62*L_CBac!$J$69</f>
        <v>421.15384615384613</v>
      </c>
      <c r="M62" s="200"/>
      <c r="N62" s="71"/>
    </row>
    <row r="63" spans="1:14" s="50" customFormat="1" ht="29.25" customHeight="1">
      <c r="A63" s="226" t="str">
        <f>L_CViec!A44</f>
        <v>11</v>
      </c>
      <c r="B63" s="227" t="str">
        <f>L_CViec!B44</f>
        <v>Nhận các ý kiến phản ánh; Xem xét giải quyết các ý kiến phản ánh về nội dung đã công khai</v>
      </c>
      <c r="C63" s="226">
        <f>L_CViec!AD44</f>
        <v>0</v>
      </c>
      <c r="D63" s="483">
        <f>L_CViec!AC44</f>
        <v>0</v>
      </c>
      <c r="E63" s="226">
        <f>L_CViec!AE44</f>
        <v>0</v>
      </c>
      <c r="F63" s="224">
        <f>L_CViec!AF44</f>
        <v>0</v>
      </c>
      <c r="G63" s="371">
        <f>L_CViec!AG44</f>
        <v>0</v>
      </c>
      <c r="H63" s="484">
        <f>L_CViec!AH44</f>
        <v>0</v>
      </c>
      <c r="I63" s="127"/>
      <c r="J63" s="741">
        <f>$D63*$G63*L_CBac!$J$68</f>
        <v>0</v>
      </c>
      <c r="K63" s="514"/>
      <c r="M63" s="200"/>
      <c r="N63" s="71"/>
    </row>
    <row r="64" spans="1:14" s="66" customFormat="1" ht="21" customHeight="1">
      <c r="A64" s="226" t="str">
        <f>L_CViec!A45</f>
        <v>11.1</v>
      </c>
      <c r="B64" s="227" t="str">
        <f>L_CViec!B45</f>
        <v>Theo hình thức trực tiếp</v>
      </c>
      <c r="C64" s="226" t="str">
        <f>L_CViec!AD45</f>
        <v>Hồ sơ</v>
      </c>
      <c r="D64" s="483">
        <f>L_CViec!AC45</f>
        <v>1</v>
      </c>
      <c r="E64" s="226" t="str">
        <f>L_CViec!AE45</f>
        <v>1KS3</v>
      </c>
      <c r="F64" s="224" t="str">
        <f>L_CViec!AF45</f>
        <v>1-3</v>
      </c>
      <c r="G64" s="371">
        <f>L_CViec!AG45</f>
        <v>1.4999999999999999E-2</v>
      </c>
      <c r="H64" s="484">
        <f>L_CViec!AH45</f>
        <v>360525</v>
      </c>
      <c r="I64" s="127">
        <f>G64*H64</f>
        <v>5407.875</v>
      </c>
      <c r="J64" s="741">
        <f>$D64*$G64*L_CBac!$J$68</f>
        <v>145.96153846153845</v>
      </c>
      <c r="K64" s="514">
        <f>$D64*$G64*L_CBac!$J$69</f>
        <v>421.15384615384613</v>
      </c>
      <c r="M64" s="200"/>
      <c r="N64" s="71"/>
    </row>
    <row r="65" spans="1:14" s="66" customFormat="1" ht="21" customHeight="1">
      <c r="A65" s="226" t="str">
        <f>L_CViec!A46</f>
        <v>11.2</v>
      </c>
      <c r="B65" s="227" t="str">
        <f>L_CViec!B46</f>
        <v>Theo hình thức trực tuyến</v>
      </c>
      <c r="C65" s="226" t="str">
        <f>L_CViec!AD46</f>
        <v>Hồ sơ</v>
      </c>
      <c r="D65" s="483">
        <f>L_CViec!AC46</f>
        <v>1</v>
      </c>
      <c r="E65" s="226" t="str">
        <f>L_CViec!AE46</f>
        <v>1KS3</v>
      </c>
      <c r="F65" s="224" t="str">
        <f>L_CViec!AF46</f>
        <v>1-3</v>
      </c>
      <c r="G65" s="371">
        <f>L_CViec!AG46</f>
        <v>0.01</v>
      </c>
      <c r="H65" s="484">
        <f>L_CViec!AH46</f>
        <v>360525</v>
      </c>
      <c r="I65" s="608">
        <f t="shared" ref="I65:I74" si="3">G65*H65</f>
        <v>3605.25</v>
      </c>
      <c r="J65" s="741">
        <f>$D65*$G65*L_CBac!$J$68</f>
        <v>97.307692307692307</v>
      </c>
      <c r="K65" s="514">
        <f>$D65*$G65*L_CBac!$J$69</f>
        <v>280.76923076923077</v>
      </c>
      <c r="M65" s="200"/>
      <c r="N65" s="71"/>
    </row>
    <row r="66" spans="1:14" s="66" customFormat="1" ht="28.5" customHeight="1">
      <c r="A66" s="226" t="str">
        <f>L_CViec!A47</f>
        <v>12</v>
      </c>
      <c r="B66" s="227" t="str">
        <f>L_CViec!B47</f>
        <v>Kiểm tra việc đủ điều kiện hay không đủ điều kiện được cấp Giấy chứng nhận</v>
      </c>
      <c r="C66" s="226" t="str">
        <f>L_CViec!AD47</f>
        <v>Thửa</v>
      </c>
      <c r="D66" s="483">
        <f>L_CViec!AC47</f>
        <v>1</v>
      </c>
      <c r="E66" s="226" t="str">
        <f>L_CViec!AE47</f>
        <v>1KS3</v>
      </c>
      <c r="F66" s="224" t="str">
        <f>L_CViec!AF47</f>
        <v>1-3</v>
      </c>
      <c r="G66" s="371">
        <f>L_CViec!AG47</f>
        <v>0.2</v>
      </c>
      <c r="H66" s="484">
        <f>L_CViec!AH47</f>
        <v>360525</v>
      </c>
      <c r="I66" s="608">
        <f t="shared" si="3"/>
        <v>72105</v>
      </c>
      <c r="J66" s="741">
        <f>$D66*$G66*L_CBac!$J$68</f>
        <v>1946.1538461538462</v>
      </c>
      <c r="K66" s="514">
        <f>$D66*$G66*L_CBac!$J$69</f>
        <v>5615.3846153846162</v>
      </c>
      <c r="M66" s="200"/>
      <c r="N66" s="71"/>
    </row>
    <row r="67" spans="1:14" s="66" customFormat="1" ht="21" customHeight="1">
      <c r="A67" s="226" t="str">
        <f>L_CViec!A48</f>
        <v>13</v>
      </c>
      <c r="B67" s="225" t="str">
        <f>L_CViec!B48</f>
        <v>Lập Tờ trình trình Chủ tịch UBND phường</v>
      </c>
      <c r="C67" s="226">
        <f>L_CViec!AD48</f>
        <v>0</v>
      </c>
      <c r="D67" s="483">
        <f>L_CViec!AC48</f>
        <v>0</v>
      </c>
      <c r="E67" s="226">
        <f>L_CViec!AE48</f>
        <v>0</v>
      </c>
      <c r="F67" s="224">
        <f>L_CViec!AF48</f>
        <v>0</v>
      </c>
      <c r="G67" s="371">
        <f>L_CViec!AG48</f>
        <v>0</v>
      </c>
      <c r="H67" s="484">
        <f>L_CViec!AH48</f>
        <v>0</v>
      </c>
      <c r="I67" s="127">
        <f t="shared" si="3"/>
        <v>0</v>
      </c>
      <c r="J67" s="741">
        <f>$D67*$G67*L_CBac!$J$68</f>
        <v>0</v>
      </c>
      <c r="K67" s="514">
        <f>$D67*$G67*L_CBac!$J$69</f>
        <v>0</v>
      </c>
      <c r="M67" s="200"/>
      <c r="N67" s="71"/>
    </row>
    <row r="68" spans="1:14" s="66" customFormat="1" ht="21" customHeight="1">
      <c r="A68" s="226" t="str">
        <f>L_CViec!A49</f>
        <v>13.1</v>
      </c>
      <c r="B68" s="225" t="str">
        <f>L_CViec!B49</f>
        <v>Theo hình thức trực tiếp</v>
      </c>
      <c r="C68" s="226" t="str">
        <f>L_CViec!AD49</f>
        <v>Hồ sơ</v>
      </c>
      <c r="D68" s="483">
        <f>L_CViec!AC49</f>
        <v>1</v>
      </c>
      <c r="E68" s="226" t="str">
        <f>L_CViec!AE49</f>
        <v>1KS3</v>
      </c>
      <c r="F68" s="224" t="str">
        <f>L_CViec!AF49</f>
        <v>1-3</v>
      </c>
      <c r="G68" s="371">
        <f>L_CViec!AG49</f>
        <v>0.05</v>
      </c>
      <c r="H68" s="484">
        <f>L_CViec!AH49</f>
        <v>360525</v>
      </c>
      <c r="I68" s="127">
        <f t="shared" si="3"/>
        <v>18026.25</v>
      </c>
      <c r="J68" s="741">
        <f>$D68*$G68*L_CBac!$J$68</f>
        <v>486.53846153846155</v>
      </c>
      <c r="K68" s="514">
        <f>$D68*$G68*L_CBac!$J$69</f>
        <v>1403.846153846154</v>
      </c>
      <c r="M68" s="200"/>
      <c r="N68" s="71"/>
    </row>
    <row r="69" spans="1:14" s="183" customFormat="1">
      <c r="A69" s="226" t="str">
        <f>L_CViec!A50</f>
        <v>13.2</v>
      </c>
      <c r="B69" s="225" t="str">
        <f>L_CViec!B50</f>
        <v>Theo hình thức trực tuyến</v>
      </c>
      <c r="C69" s="226" t="str">
        <f>L_CViec!AD50</f>
        <v>Hồ sơ</v>
      </c>
      <c r="D69" s="483">
        <f>L_CViec!AC50</f>
        <v>1</v>
      </c>
      <c r="E69" s="226" t="str">
        <f>L_CViec!AE50</f>
        <v>1KS3</v>
      </c>
      <c r="F69" s="224" t="str">
        <f>L_CViec!AF50</f>
        <v>1-3</v>
      </c>
      <c r="G69" s="371">
        <f>L_CViec!AG50</f>
        <v>0.04</v>
      </c>
      <c r="H69" s="484">
        <f>L_CViec!AH50</f>
        <v>360525</v>
      </c>
      <c r="I69" s="620">
        <f t="shared" si="3"/>
        <v>14421</v>
      </c>
      <c r="J69" s="741">
        <f>$D69*$G69*L_CBac!$J$68</f>
        <v>389.23076923076923</v>
      </c>
      <c r="K69" s="514">
        <f>$D69*$G69*L_CBac!$J$69</f>
        <v>1123.0769230769231</v>
      </c>
      <c r="M69" s="302"/>
      <c r="N69" s="303"/>
    </row>
    <row r="70" spans="1:14" s="50" customFormat="1" ht="27.75" customHeight="1">
      <c r="A70" s="708" t="str">
        <f>L_CViec!A51</f>
        <v>14</v>
      </c>
      <c r="B70" s="709" t="str">
        <f>L_CViec!B51</f>
        <v>Quyết định hình thức sử dụng đất đối với tổ chức</v>
      </c>
      <c r="C70" s="226" t="str">
        <f>L_CViec!AD51</f>
        <v>Hồ sơ</v>
      </c>
      <c r="D70" s="483">
        <f>L_CViec!AC51</f>
        <v>1</v>
      </c>
      <c r="E70" s="226" t="str">
        <f>L_CViec!AE51</f>
        <v>1KS3</v>
      </c>
      <c r="F70" s="224" t="str">
        <f>L_CViec!AF51</f>
        <v>1-3</v>
      </c>
      <c r="G70" s="371">
        <f>L_CViec!AG51</f>
        <v>0.05</v>
      </c>
      <c r="H70" s="484">
        <f>L_CViec!AH51</f>
        <v>360525</v>
      </c>
      <c r="I70" s="127">
        <f t="shared" si="3"/>
        <v>18026.25</v>
      </c>
      <c r="J70" s="741">
        <f>$D70*$G70*L_CBac!$J$68</f>
        <v>486.53846153846155</v>
      </c>
      <c r="K70" s="514">
        <f>$D70*$G70*L_CBac!$J$69</f>
        <v>1403.846153846154</v>
      </c>
      <c r="M70" s="200"/>
      <c r="N70" s="71"/>
    </row>
    <row r="71" spans="1:14" s="183" customFormat="1" ht="39">
      <c r="A71" s="226" t="str">
        <f>L_CViec!A52</f>
        <v>15</v>
      </c>
      <c r="B71" s="225" t="str">
        <f>L_CViec!B52</f>
        <v>Ban hành Thông báo xác nhận kết quả đăng ký đất đai đối với trường hợp không có nhu cầu hoặc không đủ điều kiện cấp Giấy chứng nhận</v>
      </c>
      <c r="C71" s="226" t="str">
        <f>L_CViec!AD52</f>
        <v>Hồ sơ</v>
      </c>
      <c r="D71" s="483">
        <f>L_CViec!AC52</f>
        <v>1</v>
      </c>
      <c r="E71" s="226" t="str">
        <f>L_CViec!AE52</f>
        <v>1KS3</v>
      </c>
      <c r="F71" s="224" t="str">
        <f>L_CViec!AF52</f>
        <v>1-3</v>
      </c>
      <c r="G71" s="371">
        <f>L_CViec!AG52</f>
        <v>0.05</v>
      </c>
      <c r="H71" s="484">
        <f>L_CViec!AH52</f>
        <v>360525</v>
      </c>
      <c r="I71" s="608">
        <f t="shared" si="3"/>
        <v>18026.25</v>
      </c>
      <c r="J71" s="741">
        <f>$D71*$G71*L_CBac!$J$68</f>
        <v>486.53846153846155</v>
      </c>
      <c r="K71" s="514">
        <f>$D71*$G71*L_CBac!$J$69</f>
        <v>1403.846153846154</v>
      </c>
      <c r="M71" s="302"/>
      <c r="N71" s="303"/>
    </row>
    <row r="72" spans="1:14" s="50" customFormat="1" ht="39">
      <c r="A72" s="226" t="str">
        <f>L_CViec!A53</f>
        <v>16</v>
      </c>
      <c r="B72" s="225" t="str">
        <f>L_CViec!B53</f>
        <v>Chuyển Thông báo xác nhận kết quả đăng ký đất đai đến Bộ phận một cửa hoặc chuyển Giấy chứng nhận thông qua dịch vụ bưu chính công ích để trao cho người sử dụng đất.</v>
      </c>
      <c r="C72" s="226" t="str">
        <f>L_CViec!AD53</f>
        <v>Hồ sơ</v>
      </c>
      <c r="D72" s="483">
        <f>L_CViec!AC53</f>
        <v>1</v>
      </c>
      <c r="E72" s="226" t="str">
        <f>L_CViec!AE53</f>
        <v>1KS1</v>
      </c>
      <c r="F72" s="224" t="str">
        <f>L_CViec!AF53</f>
        <v>1-3</v>
      </c>
      <c r="G72" s="371">
        <f>L_CViec!AG53</f>
        <v>0.02</v>
      </c>
      <c r="H72" s="484">
        <f>L_CViec!AH53</f>
        <v>281209.5</v>
      </c>
      <c r="I72" s="608">
        <f t="shared" si="3"/>
        <v>5624.1900000000005</v>
      </c>
      <c r="J72" s="741">
        <f>$D72*$G72*L_CBac!$J$68</f>
        <v>194.61538461538461</v>
      </c>
      <c r="K72" s="514">
        <f>$D72*$G72*L_CBac!$J$69</f>
        <v>561.53846153846155</v>
      </c>
      <c r="M72" s="200"/>
      <c r="N72" s="71"/>
    </row>
    <row r="73" spans="1:14" s="66" customFormat="1" ht="39">
      <c r="A73" s="226" t="str">
        <f>L_CViec!A54</f>
        <v>17</v>
      </c>
      <c r="B73" s="225" t="str">
        <f>L_CViec!B54</f>
        <v>Lập, gửi Phiếu chuyển thông tin xác định nghĩa vụ tài chính đối với trường hợp có nhu cầu cấp Giấy chứng nhận và đủ điều kiện</v>
      </c>
      <c r="C73" s="226">
        <f>L_CViec!AD54</f>
        <v>0</v>
      </c>
      <c r="D73" s="483">
        <f>L_CViec!AC54</f>
        <v>0</v>
      </c>
      <c r="E73" s="226">
        <f>L_CViec!AE54</f>
        <v>0</v>
      </c>
      <c r="F73" s="224">
        <f>L_CViec!AF54</f>
        <v>0</v>
      </c>
      <c r="G73" s="371">
        <f>L_CViec!AG54</f>
        <v>0</v>
      </c>
      <c r="H73" s="484">
        <f>L_CViec!AH54</f>
        <v>0</v>
      </c>
      <c r="I73" s="127">
        <f t="shared" si="3"/>
        <v>0</v>
      </c>
      <c r="J73" s="741">
        <f>$D73*$G73*L_CBac!$J$68</f>
        <v>0</v>
      </c>
      <c r="K73" s="514">
        <f>$D73*$G73*L_CBac!$J$69</f>
        <v>0</v>
      </c>
      <c r="M73" s="200"/>
      <c r="N73" s="71"/>
    </row>
    <row r="74" spans="1:14" s="66" customFormat="1" ht="30.75" customHeight="1">
      <c r="A74" s="226" t="str">
        <f>L_CViec!A55</f>
        <v>17.1</v>
      </c>
      <c r="B74" s="225" t="str">
        <f>L_CViec!B55</f>
        <v>Chuyển thông tin theo hình thức liên thông</v>
      </c>
      <c r="C74" s="226" t="str">
        <f>L_CViec!AD55</f>
        <v>Hồ sơ</v>
      </c>
      <c r="D74" s="483">
        <f>L_CViec!AC55</f>
        <v>1</v>
      </c>
      <c r="E74" s="226" t="str">
        <f>L_CViec!AE55</f>
        <v>1KS3</v>
      </c>
      <c r="F74" s="224" t="str">
        <f>L_CViec!AF55</f>
        <v>1-3</v>
      </c>
      <c r="G74" s="371">
        <f>L_CViec!AG55</f>
        <v>0.05</v>
      </c>
      <c r="H74" s="484">
        <f>L_CViec!AH55</f>
        <v>360525</v>
      </c>
      <c r="I74" s="608">
        <f t="shared" si="3"/>
        <v>18026.25</v>
      </c>
      <c r="J74" s="741">
        <f>$D74*$G74*L_CBac!$J$68</f>
        <v>486.53846153846155</v>
      </c>
      <c r="K74" s="514">
        <f>$D74*$G74*L_CBac!$J$69</f>
        <v>1403.846153846154</v>
      </c>
      <c r="M74" s="200"/>
      <c r="N74" s="71"/>
    </row>
    <row r="75" spans="1:14" s="305" customFormat="1" ht="19.5" customHeight="1">
      <c r="A75" s="226" t="str">
        <f>L_CViec!A56</f>
        <v>17.2</v>
      </c>
      <c r="B75" s="225" t="str">
        <f>L_CViec!B56</f>
        <v>Chuyển thông tin theo hình thức trực tiếp</v>
      </c>
      <c r="C75" s="226" t="str">
        <f>L_CViec!AD56</f>
        <v>Hồ sơ</v>
      </c>
      <c r="D75" s="483">
        <f>L_CViec!AC56</f>
        <v>1</v>
      </c>
      <c r="E75" s="226" t="str">
        <f>L_CViec!AE56</f>
        <v>1KS3</v>
      </c>
      <c r="F75" s="224" t="str">
        <f>L_CViec!AF56</f>
        <v>1-3</v>
      </c>
      <c r="G75" s="371">
        <f>L_CViec!AG56</f>
        <v>0.06</v>
      </c>
      <c r="H75" s="484">
        <f>L_CViec!AH56</f>
        <v>360525</v>
      </c>
      <c r="I75" s="306">
        <f>G75*H75</f>
        <v>21631.5</v>
      </c>
      <c r="J75" s="741">
        <f>$D75*$G75*L_CBac!$J$68</f>
        <v>583.84615384615381</v>
      </c>
      <c r="K75" s="514">
        <f>$D75*$G75*L_CBac!$J$69</f>
        <v>1684.6153846153845</v>
      </c>
      <c r="M75" s="302"/>
      <c r="N75" s="303"/>
    </row>
    <row r="76" spans="1:14" s="50" customFormat="1" ht="26">
      <c r="A76" s="226">
        <f>L_CViec!A57</f>
        <v>18</v>
      </c>
      <c r="B76" s="225" t="str">
        <f>L_CViec!B57</f>
        <v>Nhận thông báo hoàn thành nghĩa vụ tài chính từ cơ quan thuế hoặc được ghi nợ nghĩa vụ tài chính</v>
      </c>
      <c r="C76" s="226">
        <f>L_CViec!AD57</f>
        <v>0</v>
      </c>
      <c r="D76" s="483">
        <f>L_CViec!AC57</f>
        <v>0</v>
      </c>
      <c r="E76" s="226">
        <f>L_CViec!AE57</f>
        <v>0</v>
      </c>
      <c r="F76" s="224">
        <f>L_CViec!AF57</f>
        <v>0</v>
      </c>
      <c r="G76" s="371">
        <f>L_CViec!AG57</f>
        <v>0</v>
      </c>
      <c r="H76" s="484">
        <f>L_CViec!AH57</f>
        <v>0</v>
      </c>
      <c r="I76" s="127"/>
      <c r="J76" s="741">
        <f>$D76*$G76*L_CBac!$J$68</f>
        <v>0</v>
      </c>
      <c r="K76" s="514"/>
      <c r="M76" s="200"/>
      <c r="N76" s="71"/>
    </row>
    <row r="77" spans="1:14" s="66" customFormat="1">
      <c r="A77" s="226">
        <f>L_CViec!A58</f>
        <v>18.100000000000001</v>
      </c>
      <c r="B77" s="225" t="str">
        <f>L_CViec!B58</f>
        <v>Chuyển thông tin theo hình thức trực tiếp</v>
      </c>
      <c r="C77" s="226" t="str">
        <f>L_CViec!AD58</f>
        <v>Hồ sơ</v>
      </c>
      <c r="D77" s="483">
        <f>L_CViec!AC58</f>
        <v>1</v>
      </c>
      <c r="E77" s="226" t="str">
        <f>L_CViec!AE58</f>
        <v>1KS2</v>
      </c>
      <c r="F77" s="224" t="str">
        <f>L_CViec!AF58</f>
        <v>1-3</v>
      </c>
      <c r="G77" s="371">
        <f>L_CViec!AG58</f>
        <v>0.06</v>
      </c>
      <c r="H77" s="484">
        <f>L_CViec!AH58</f>
        <v>320867.25</v>
      </c>
      <c r="I77" s="127">
        <f t="shared" ref="I77:I82" si="4">G77*H77</f>
        <v>19252.035</v>
      </c>
      <c r="J77" s="741">
        <f>$D77*$G77*L_CBac!$J$68</f>
        <v>583.84615384615381</v>
      </c>
      <c r="K77" s="514">
        <f>$D77*$G77*L_CBac!$J$69</f>
        <v>1684.6153846153845</v>
      </c>
      <c r="M77" s="200"/>
      <c r="N77" s="71"/>
    </row>
    <row r="78" spans="1:14" s="66" customFormat="1" ht="33.75" customHeight="1">
      <c r="A78" s="226">
        <f>L_CViec!A59</f>
        <v>18.2</v>
      </c>
      <c r="B78" s="225" t="str">
        <f>L_CViec!B59</f>
        <v>Chuyển thông tin theo hình thức liên thông</v>
      </c>
      <c r="C78" s="226" t="str">
        <f>L_CViec!AD59</f>
        <v>Hồ sơ</v>
      </c>
      <c r="D78" s="483">
        <f>L_CViec!AC59</f>
        <v>1</v>
      </c>
      <c r="E78" s="226" t="str">
        <f>L_CViec!AE59</f>
        <v>1KS2</v>
      </c>
      <c r="F78" s="224" t="str">
        <f>L_CViec!AF59</f>
        <v>1-3</v>
      </c>
      <c r="G78" s="371">
        <f>L_CViec!AG59</f>
        <v>0.05</v>
      </c>
      <c r="H78" s="484">
        <f>L_CViec!AH59</f>
        <v>320867.25</v>
      </c>
      <c r="I78" s="608">
        <f t="shared" si="4"/>
        <v>16043.362500000001</v>
      </c>
      <c r="J78" s="741">
        <f>$D78*$G78*L_CBac!$J$68</f>
        <v>486.53846153846155</v>
      </c>
      <c r="K78" s="514">
        <f>$D78*$G78*L_CBac!$J$69</f>
        <v>1403.846153846154</v>
      </c>
      <c r="M78" s="200"/>
      <c r="N78" s="71"/>
    </row>
    <row r="79" spans="1:14" s="50" customFormat="1" ht="26">
      <c r="A79" s="226" t="str">
        <f>L_CViec!A60</f>
        <v>19</v>
      </c>
      <c r="B79" s="225" t="str">
        <f>L_CViec!B60</f>
        <v xml:space="preserve">Nhập thông tin về nghĩa vụ tài chính, đăng ký vào hồ sơ địa chính </v>
      </c>
      <c r="C79" s="226" t="str">
        <f>L_CViec!AD60</f>
        <v>Thửa</v>
      </c>
      <c r="D79" s="483">
        <f>L_CViec!AC60</f>
        <v>1</v>
      </c>
      <c r="E79" s="226" t="str">
        <f>L_CViec!AE60</f>
        <v>1KS3</v>
      </c>
      <c r="F79" s="224" t="str">
        <f>L_CViec!AF60</f>
        <v>1-3</v>
      </c>
      <c r="G79" s="371">
        <f>L_CViec!AG60</f>
        <v>0.03</v>
      </c>
      <c r="H79" s="484">
        <f>L_CViec!AH60</f>
        <v>360525</v>
      </c>
      <c r="I79" s="608">
        <f t="shared" si="4"/>
        <v>10815.75</v>
      </c>
      <c r="J79" s="741">
        <f>$D79*$G79*L_CBac!$J$68</f>
        <v>291.92307692307691</v>
      </c>
      <c r="K79" s="514">
        <f>$D79*$G79*L_CBac!$J$69</f>
        <v>842.30769230769226</v>
      </c>
      <c r="M79" s="200"/>
      <c r="N79" s="71"/>
    </row>
    <row r="80" spans="1:14" s="66" customFormat="1">
      <c r="A80" s="226" t="str">
        <f>L_CViec!A61</f>
        <v>20</v>
      </c>
      <c r="B80" s="225" t="str">
        <f>L_CViec!B61</f>
        <v>Chuẩn bị hợp đồng cho thuê đất (nếu có)</v>
      </c>
      <c r="C80" s="226" t="str">
        <f>L_CViec!AD61</f>
        <v>Hồ sơ</v>
      </c>
      <c r="D80" s="483">
        <f>L_CViec!AC61</f>
        <v>1</v>
      </c>
      <c r="E80" s="226" t="str">
        <f>L_CViec!AE61</f>
        <v>1KS3</v>
      </c>
      <c r="F80" s="224" t="str">
        <f>L_CViec!AF61</f>
        <v>1-3</v>
      </c>
      <c r="G80" s="371">
        <f>L_CViec!AG61</f>
        <v>0.2</v>
      </c>
      <c r="H80" s="484">
        <f>L_CViec!AH61</f>
        <v>360525</v>
      </c>
      <c r="I80" s="608">
        <f t="shared" si="4"/>
        <v>72105</v>
      </c>
      <c r="J80" s="741">
        <f>$D80*$G80*L_CBac!$J$68</f>
        <v>1946.1538461538462</v>
      </c>
      <c r="K80" s="514">
        <f>$D80*$G80*L_CBac!$J$69</f>
        <v>5615.3846153846162</v>
      </c>
      <c r="M80" s="200"/>
      <c r="N80" s="71"/>
    </row>
    <row r="81" spans="1:14" s="66" customFormat="1">
      <c r="A81" s="226" t="str">
        <f>L_CViec!A62</f>
        <v>21</v>
      </c>
      <c r="B81" s="225" t="str">
        <f>L_CViec!B62</f>
        <v>In GCN</v>
      </c>
      <c r="C81" s="226">
        <f>L_CViec!AD62</f>
        <v>0</v>
      </c>
      <c r="D81" s="483">
        <f>L_CViec!AC62</f>
        <v>0</v>
      </c>
      <c r="E81" s="226">
        <f>L_CViec!AE62</f>
        <v>0</v>
      </c>
      <c r="F81" s="224">
        <f>L_CViec!AF62</f>
        <v>0</v>
      </c>
      <c r="G81" s="371">
        <f>L_CViec!AG62</f>
        <v>0</v>
      </c>
      <c r="H81" s="484">
        <f>L_CViec!AH62</f>
        <v>0</v>
      </c>
      <c r="I81" s="127">
        <f t="shared" si="4"/>
        <v>0</v>
      </c>
      <c r="J81" s="741">
        <f>$D81*$G81*L_CBac!$J$68</f>
        <v>0</v>
      </c>
      <c r="K81" s="514">
        <f>$D81*$G81*L_CBac!$J$69</f>
        <v>0</v>
      </c>
      <c r="M81" s="200"/>
      <c r="N81" s="71"/>
    </row>
    <row r="82" spans="1:14" s="50" customFormat="1">
      <c r="A82" s="226" t="str">
        <f>L_CViec!A63</f>
        <v>21.1</v>
      </c>
      <c r="B82" s="225" t="str">
        <f>L_CViec!B63</f>
        <v>Trực tiếp từ cơ sở dữ liệu dạng số</v>
      </c>
      <c r="C82" s="226" t="str">
        <f>L_CViec!AD63</f>
        <v>GCN</v>
      </c>
      <c r="D82" s="483">
        <f>L_CViec!AC63</f>
        <v>1</v>
      </c>
      <c r="E82" s="226" t="str">
        <f>L_CViec!AE63</f>
        <v>1KS2</v>
      </c>
      <c r="F82" s="224" t="str">
        <f>L_CViec!AF63</f>
        <v>1-3</v>
      </c>
      <c r="G82" s="371">
        <f>L_CViec!AG63</f>
        <v>0.05</v>
      </c>
      <c r="H82" s="484">
        <f>L_CViec!AH63</f>
        <v>320867.25</v>
      </c>
      <c r="I82" s="608">
        <f t="shared" si="4"/>
        <v>16043.362500000001</v>
      </c>
      <c r="J82" s="741">
        <f>$D82*$G82*L_CBac!$J$68</f>
        <v>486.53846153846155</v>
      </c>
      <c r="K82" s="514">
        <f>$D82*$G82*L_CBac!$J$69</f>
        <v>1403.846153846154</v>
      </c>
      <c r="M82" s="200"/>
      <c r="N82" s="71"/>
    </row>
    <row r="83" spans="1:14" s="50" customFormat="1">
      <c r="A83" s="226" t="str">
        <f>L_CViec!A64</f>
        <v>21.2</v>
      </c>
      <c r="B83" s="225" t="str">
        <f>L_CViec!B64</f>
        <v>Đối với những nơi chưa có bản đồ dạng số</v>
      </c>
      <c r="C83" s="226" t="str">
        <f>L_CViec!AD64</f>
        <v>GCN</v>
      </c>
      <c r="D83" s="483">
        <f>L_CViec!AC64</f>
        <v>1</v>
      </c>
      <c r="E83" s="226" t="str">
        <f>L_CViec!AE64</f>
        <v>1KS2</v>
      </c>
      <c r="F83" s="224" t="str">
        <f>L_CViec!AF64</f>
        <v>1-3</v>
      </c>
      <c r="G83" s="371">
        <f>L_CViec!AG64</f>
        <v>0.1</v>
      </c>
      <c r="H83" s="484">
        <f>L_CViec!AH64</f>
        <v>320867.25</v>
      </c>
      <c r="I83" s="608">
        <f t="shared" ref="I83:I90" si="5">G83*H83</f>
        <v>32086.725000000002</v>
      </c>
      <c r="J83" s="741">
        <f>$D83*$G83*L_CBac!$J$68</f>
        <v>973.07692307692309</v>
      </c>
      <c r="K83" s="514">
        <f>$D83*$G83*L_CBac!$J$69</f>
        <v>2807.6923076923081</v>
      </c>
      <c r="M83" s="200"/>
      <c r="N83" s="71"/>
    </row>
    <row r="84" spans="1:14" s="50" customFormat="1">
      <c r="A84" s="226" t="str">
        <f>L_CViec!A65</f>
        <v>22</v>
      </c>
      <c r="B84" s="225" t="str">
        <f>L_CViec!B65</f>
        <v>Cấp Giấy chứng nhận</v>
      </c>
      <c r="C84" s="226" t="str">
        <f>L_CViec!AD65</f>
        <v>Hồ sơ</v>
      </c>
      <c r="D84" s="483">
        <f>L_CViec!AC65</f>
        <v>1</v>
      </c>
      <c r="E84" s="226" t="str">
        <f>L_CViec!AE65</f>
        <v>1KS2</v>
      </c>
      <c r="F84" s="224" t="str">
        <f>L_CViec!AF65</f>
        <v>1-3</v>
      </c>
      <c r="G84" s="371">
        <f>L_CViec!AG65</f>
        <v>0.05</v>
      </c>
      <c r="H84" s="484">
        <f>L_CViec!AH65</f>
        <v>360525</v>
      </c>
      <c r="I84" s="608">
        <f t="shared" si="5"/>
        <v>18026.25</v>
      </c>
      <c r="J84" s="741">
        <f>$D84*$G84*L_CBac!$J$68</f>
        <v>486.53846153846155</v>
      </c>
      <c r="K84" s="514">
        <f>$D84*$G84*L_CBac!$J$69</f>
        <v>1403.846153846154</v>
      </c>
      <c r="M84" s="200"/>
      <c r="N84" s="71"/>
    </row>
    <row r="85" spans="1:14" s="66" customFormat="1">
      <c r="A85" s="226" t="str">
        <f>L_CViec!A66</f>
        <v>23</v>
      </c>
      <c r="B85" s="225" t="str">
        <f>L_CViec!B66</f>
        <v>Nhập bổ sung thông tin dữ liệu về Giấy chứng nhận đã cấp</v>
      </c>
      <c r="C85" s="226" t="str">
        <f>L_CViec!AD66</f>
        <v>Thửa</v>
      </c>
      <c r="D85" s="483">
        <f>L_CViec!AC66</f>
        <v>1</v>
      </c>
      <c r="E85" s="226" t="str">
        <f>L_CViec!AE66</f>
        <v>1KS2</v>
      </c>
      <c r="F85" s="224" t="str">
        <f>L_CViec!AF66</f>
        <v>1-3</v>
      </c>
      <c r="G85" s="371">
        <f>L_CViec!AG66</f>
        <v>3.3000000000000002E-2</v>
      </c>
      <c r="H85" s="484">
        <f>L_CViec!AH66</f>
        <v>320867.25</v>
      </c>
      <c r="I85" s="608">
        <f t="shared" si="5"/>
        <v>10588.61925</v>
      </c>
      <c r="J85" s="741">
        <f>$D85*$G85*L_CBac!$J$68</f>
        <v>321.11538461538464</v>
      </c>
      <c r="K85" s="514">
        <f>$D85*$G85*L_CBac!$J$69</f>
        <v>926.53846153846166</v>
      </c>
      <c r="M85" s="200"/>
      <c r="N85" s="71"/>
    </row>
    <row r="86" spans="1:14" s="66" customFormat="1">
      <c r="A86" s="226" t="str">
        <f>L_CViec!A67</f>
        <v>24</v>
      </c>
      <c r="B86" s="225" t="str">
        <f>L_CViec!B67</f>
        <v>Quét giấy tờ pháp lý và xử lý tập tin</v>
      </c>
      <c r="C86" s="226">
        <f>L_CViec!AD67</f>
        <v>0</v>
      </c>
      <c r="D86" s="483">
        <f>L_CViec!AC67</f>
        <v>0</v>
      </c>
      <c r="E86" s="226">
        <f>L_CViec!AE67</f>
        <v>0</v>
      </c>
      <c r="F86" s="224">
        <f>L_CViec!AF67</f>
        <v>0</v>
      </c>
      <c r="G86" s="371">
        <f>L_CViec!AG67</f>
        <v>0</v>
      </c>
      <c r="H86" s="484">
        <f>L_CViec!AH67</f>
        <v>0</v>
      </c>
      <c r="I86" s="127">
        <f t="shared" si="5"/>
        <v>0</v>
      </c>
      <c r="J86" s="741">
        <f>$D86*$G86*L_CBac!$J$68</f>
        <v>0</v>
      </c>
      <c r="K86" s="514">
        <f>$D86*$G86*L_CBac!$J$69</f>
        <v>0</v>
      </c>
      <c r="M86" s="200"/>
      <c r="N86" s="71"/>
    </row>
    <row r="87" spans="1:14" s="50" customFormat="1">
      <c r="A87" s="226" t="str">
        <f>L_CViec!A68</f>
        <v>24.1</v>
      </c>
      <c r="B87" s="225" t="str">
        <f>L_CViec!B68</f>
        <v>Quét bổ sung các giấy tờ trong hồ sơ đăng ký đất đai</v>
      </c>
      <c r="C87" s="226">
        <f>L_CViec!AD68</f>
        <v>0</v>
      </c>
      <c r="D87" s="483">
        <f>L_CViec!AC68</f>
        <v>0</v>
      </c>
      <c r="E87" s="226">
        <f>L_CViec!AE68</f>
        <v>0</v>
      </c>
      <c r="F87" s="224">
        <f>L_CViec!AF68</f>
        <v>0</v>
      </c>
      <c r="G87" s="371">
        <f>L_CViec!AG68</f>
        <v>0</v>
      </c>
      <c r="H87" s="484">
        <f>L_CViec!AH68</f>
        <v>0</v>
      </c>
      <c r="I87" s="127">
        <f t="shared" si="5"/>
        <v>0</v>
      </c>
      <c r="J87" s="741">
        <f>$D87*$G87*L_CBac!$J$68</f>
        <v>0</v>
      </c>
      <c r="K87" s="514">
        <f>$D87*$G87*L_CBac!$J$69</f>
        <v>0</v>
      </c>
      <c r="M87" s="200"/>
      <c r="N87" s="71"/>
    </row>
    <row r="88" spans="1:14" s="50" customFormat="1">
      <c r="A88" s="226" t="str">
        <f>L_CViec!A69</f>
        <v>24.1.1</v>
      </c>
      <c r="B88" s="225" t="str">
        <f>L_CViec!B69</f>
        <v>Quét trang A3</v>
      </c>
      <c r="C88" s="226" t="str">
        <f>L_CViec!AD69</f>
        <v>Trang</v>
      </c>
      <c r="D88" s="483">
        <f>L_CViec!AC69</f>
        <v>1</v>
      </c>
      <c r="E88" s="226" t="str">
        <f>L_CViec!AE69</f>
        <v>1KS1</v>
      </c>
      <c r="F88" s="224" t="str">
        <f>L_CViec!AF69</f>
        <v>1-3</v>
      </c>
      <c r="G88" s="371">
        <f>L_CViec!AG69</f>
        <v>1.6E-2</v>
      </c>
      <c r="H88" s="484">
        <f>L_CViec!AH69</f>
        <v>281209.5</v>
      </c>
      <c r="I88" s="127">
        <f t="shared" si="5"/>
        <v>4499.3519999999999</v>
      </c>
      <c r="J88" s="741">
        <f>$D88*$G88*L_CBac!$J$68</f>
        <v>155.69230769230768</v>
      </c>
      <c r="K88" s="514">
        <f>$D88*$G88*L_CBac!$J$69</f>
        <v>449.23076923076928</v>
      </c>
      <c r="M88" s="200"/>
      <c r="N88" s="71"/>
    </row>
    <row r="89" spans="1:14" s="183" customFormat="1">
      <c r="A89" s="226" t="str">
        <f>L_CViec!A70</f>
        <v>24.1.2</v>
      </c>
      <c r="B89" s="225" t="str">
        <f>L_CViec!B70</f>
        <v>Quét trang A4</v>
      </c>
      <c r="C89" s="226" t="str">
        <f>L_CViec!AD70</f>
        <v>Trang</v>
      </c>
      <c r="D89" s="483">
        <f>L_CViec!AC70</f>
        <v>1</v>
      </c>
      <c r="E89" s="226" t="str">
        <f>L_CViec!AE70</f>
        <v>1KS1</v>
      </c>
      <c r="F89" s="224" t="str">
        <f>L_CViec!AF70</f>
        <v>1-3</v>
      </c>
      <c r="G89" s="371">
        <f>L_CViec!AG70</f>
        <v>8.0000000000000002E-3</v>
      </c>
      <c r="H89" s="484">
        <f>L_CViec!AH70</f>
        <v>281209.5</v>
      </c>
      <c r="I89" s="127">
        <f t="shared" si="5"/>
        <v>2249.6759999999999</v>
      </c>
      <c r="J89" s="741">
        <f>$D89*$G89*L_CBac!$J$68</f>
        <v>77.84615384615384</v>
      </c>
      <c r="K89" s="514">
        <f>$D89*$G89*L_CBac!$J$69</f>
        <v>224.61538461538464</v>
      </c>
      <c r="M89" s="302"/>
      <c r="N89" s="303"/>
    </row>
    <row r="90" spans="1:14" s="183" customFormat="1" ht="26">
      <c r="A90" s="226" t="str">
        <f>L_CViec!A71</f>
        <v>25</v>
      </c>
      <c r="B90" s="225" t="str">
        <f>L_CViec!B71</f>
        <v>Xử lý các tệp tin quét thành tệp (File) hồ sơ quét dạng số của thửa đất, lưu trữ dưới khuôn dạng tệp tin PDF</v>
      </c>
      <c r="C90" s="226" t="str">
        <f>L_CViec!AD71</f>
        <v>Trang</v>
      </c>
      <c r="D90" s="483">
        <f>L_CViec!AC71</f>
        <v>1</v>
      </c>
      <c r="E90" s="226" t="str">
        <f>L_CViec!AE71</f>
        <v>1KS1</v>
      </c>
      <c r="F90" s="224" t="str">
        <f>L_CViec!AF71</f>
        <v>1-3</v>
      </c>
      <c r="G90" s="371">
        <f>L_CViec!AG71</f>
        <v>4.0000000000000001E-3</v>
      </c>
      <c r="H90" s="484">
        <f>L_CViec!AH71</f>
        <v>281209.5</v>
      </c>
      <c r="I90" s="127">
        <f t="shared" si="5"/>
        <v>1124.838</v>
      </c>
      <c r="J90" s="741">
        <f>$D90*$G90*L_CBac!$J$68</f>
        <v>38.92307692307692</v>
      </c>
      <c r="K90" s="514">
        <f>$D90*$G90*L_CBac!$J$69</f>
        <v>112.30769230769232</v>
      </c>
      <c r="M90" s="302"/>
      <c r="N90" s="303"/>
    </row>
    <row r="91" spans="1:14" s="50" customFormat="1" ht="24" customHeight="1">
      <c r="A91" s="226" t="str">
        <f>L_CViec!A72</f>
        <v>26</v>
      </c>
      <c r="B91" s="225" t="str">
        <f>L_CViec!B72</f>
        <v>Tạo liên kết hồ sơ quét dạng số với thửa đất trong cơ sở dữ liệu</v>
      </c>
      <c r="C91" s="226" t="str">
        <f>L_CViec!AD72</f>
        <v>Thửa</v>
      </c>
      <c r="D91" s="483">
        <f>L_CViec!AC72</f>
        <v>1</v>
      </c>
      <c r="E91" s="226" t="str">
        <f>L_CViec!AE72</f>
        <v>1KS1</v>
      </c>
      <c r="F91" s="224" t="str">
        <f>L_CViec!AF72</f>
        <v>1-3</v>
      </c>
      <c r="G91" s="371">
        <f>L_CViec!AG72</f>
        <v>0.01</v>
      </c>
      <c r="H91" s="484">
        <f>L_CViec!AH72</f>
        <v>281209.5</v>
      </c>
      <c r="I91" s="127">
        <f>G91*H91</f>
        <v>2812.0950000000003</v>
      </c>
      <c r="J91" s="741">
        <f>$D91*$G91*L_CBac!$J$68</f>
        <v>97.307692307692307</v>
      </c>
      <c r="K91" s="514">
        <f>$D91*$G91*L_CBac!$J$69</f>
        <v>280.76923076923077</v>
      </c>
      <c r="M91" s="200"/>
      <c r="N91" s="71"/>
    </row>
    <row r="92" spans="1:14" s="50" customFormat="1" ht="51" customHeight="1">
      <c r="A92" s="226" t="str">
        <f>L_CViec!A73</f>
        <v>27</v>
      </c>
      <c r="B92" s="225" t="str">
        <f>L_CViec!B73</f>
        <v>Chuyển Giấy chứng nhận đến Bộ phận một cửa để trao cho người sử dụng đất hoặc chuyển Giấy chứng nhận cho người sử dụng đất thông qua dịch vụ bưu chính công ích</v>
      </c>
      <c r="C92" s="226" t="str">
        <f>L_CViec!AD73</f>
        <v>Hồ sơ</v>
      </c>
      <c r="D92" s="483">
        <f>L_CViec!AC73</f>
        <v>1</v>
      </c>
      <c r="E92" s="226" t="str">
        <f>L_CViec!AE73</f>
        <v>1KS2</v>
      </c>
      <c r="F92" s="224" t="str">
        <f>L_CViec!AF73</f>
        <v>1-3</v>
      </c>
      <c r="G92" s="371">
        <f>L_CViec!AG73</f>
        <v>0.05</v>
      </c>
      <c r="H92" s="484">
        <f>L_CViec!AH73</f>
        <v>320867.25</v>
      </c>
      <c r="I92" s="608">
        <f>G92*H92</f>
        <v>16043.362500000001</v>
      </c>
      <c r="J92" s="741">
        <f>$D92*$G92*L_CBac!$J$68</f>
        <v>486.53846153846155</v>
      </c>
      <c r="K92" s="514">
        <f>$D92*$G92*L_CBac!$J$69</f>
        <v>1403.846153846154</v>
      </c>
      <c r="M92" s="200"/>
      <c r="N92" s="71"/>
    </row>
    <row r="93" spans="1:14" s="66" customFormat="1" ht="39">
      <c r="A93" s="226" t="str">
        <f>L_CViec!A74</f>
        <v>28</v>
      </c>
      <c r="B93" s="225" t="str">
        <f>L_CViec!B74</f>
        <v>Chuyển hồ sơ kèm theo bản sao Giấy chứng nhận đã cấp đến Văn phòng đăng ký đất đai để cập nhật, chỉnh lý hồ sơ địa chính, cơ sở dữ liệu đất đai.</v>
      </c>
      <c r="C93" s="226" t="str">
        <f>L_CViec!AD74</f>
        <v>Hồ sơ</v>
      </c>
      <c r="D93" s="483">
        <f>L_CViec!AC74</f>
        <v>1</v>
      </c>
      <c r="E93" s="226" t="str">
        <f>L_CViec!AE74</f>
        <v>1KS2</v>
      </c>
      <c r="F93" s="224" t="str">
        <f>L_CViec!AF74</f>
        <v>1-3</v>
      </c>
      <c r="G93" s="371">
        <f>L_CViec!AG74</f>
        <v>0.05</v>
      </c>
      <c r="H93" s="484">
        <f>L_CViec!AH74</f>
        <v>320867.25</v>
      </c>
      <c r="I93" s="608">
        <f>G93*H93</f>
        <v>16043.362500000001</v>
      </c>
      <c r="J93" s="741">
        <f>$D93*$G93*L_CBac!$J$68</f>
        <v>486.53846153846155</v>
      </c>
      <c r="K93" s="514">
        <f>$D93*$G93*L_CBac!$J$69</f>
        <v>1403.846153846154</v>
      </c>
      <c r="M93" s="200"/>
      <c r="N93" s="71"/>
    </row>
    <row r="94" spans="1:14" s="66" customFormat="1" ht="26">
      <c r="A94" s="226" t="str">
        <f>L_CViec!A75</f>
        <v>29</v>
      </c>
      <c r="B94" s="225" t="str">
        <f>L_CViec!B75</f>
        <v>Nhận hồ sơ địa chính từ cấp tỉnh gửi về (01 bộ)</v>
      </c>
      <c r="C94" s="226" t="str">
        <f>L_CViec!AD75</f>
        <v xml:space="preserve">Bộ/xã, phường, </v>
      </c>
      <c r="D94" s="483">
        <f>L_CViec!AC75</f>
        <v>1</v>
      </c>
      <c r="E94" s="226" t="str">
        <f>L_CViec!AE75</f>
        <v>1KS2</v>
      </c>
      <c r="F94" s="224" t="str">
        <f>L_CViec!AF75</f>
        <v>1-3</v>
      </c>
      <c r="G94" s="371">
        <f>L_CViec!AG75</f>
        <v>32</v>
      </c>
      <c r="H94" s="484">
        <f>L_CViec!AH75</f>
        <v>320867.25</v>
      </c>
      <c r="I94" s="621">
        <f>G94*H94/20000</f>
        <v>513.38760000000002</v>
      </c>
      <c r="J94" s="741">
        <f>$D94*$G94*L_CBac!$J$68/20000</f>
        <v>15.569230769230769</v>
      </c>
      <c r="K94" s="514">
        <f>$D94*$G94*L_CBac!$J$69</f>
        <v>898461.5384615385</v>
      </c>
      <c r="M94" s="200"/>
      <c r="N94" s="71"/>
    </row>
    <row r="95" spans="1:14" s="51" customFormat="1" ht="26.5" customHeight="1">
      <c r="A95" s="223" t="str">
        <f>L_CViec!A76</f>
        <v>I.2</v>
      </c>
      <c r="B95" s="914" t="str">
        <f>L_CViec!B76</f>
        <v>CÁC NỘI DUNG THỰC HIỆN TẠI ĐỊA BÀN CẤP TỈNH</v>
      </c>
      <c r="C95" s="914"/>
      <c r="D95" s="408">
        <f>L_CViec!AC76</f>
        <v>0</v>
      </c>
      <c r="E95" s="408">
        <f>L_CViec!AE76</f>
        <v>0</v>
      </c>
      <c r="F95" s="408">
        <f>L_CViec!AF76</f>
        <v>0</v>
      </c>
      <c r="G95" s="371">
        <f>L_CViec!AG76</f>
        <v>0</v>
      </c>
      <c r="H95" s="475">
        <f>L_CViec!AH76</f>
        <v>0</v>
      </c>
      <c r="I95" s="623">
        <f>SUM(I96,I99,I102)</f>
        <v>29383.41841875</v>
      </c>
      <c r="J95" s="741">
        <f>SUM(J96,J99,J102)</f>
        <v>696.72307692307686</v>
      </c>
      <c r="K95" s="514">
        <f>SUM(K96,K99,K102)</f>
        <v>4604.6153846153848</v>
      </c>
      <c r="M95" s="200"/>
      <c r="N95" s="71"/>
    </row>
    <row r="96" spans="1:14" s="50" customFormat="1" ht="20.25" customHeight="1">
      <c r="A96" s="226" t="str">
        <f>L_CViec!A77</f>
        <v>1</v>
      </c>
      <c r="B96" s="225" t="str">
        <f>L_CViec!B77</f>
        <v>Lập hồ sơ địa chính</v>
      </c>
      <c r="C96" s="226">
        <f>L_CViec!AD77</f>
        <v>0</v>
      </c>
      <c r="D96" s="226">
        <f>L_CViec!AC77</f>
        <v>0</v>
      </c>
      <c r="E96" s="226">
        <f>L_CViec!AE77</f>
        <v>0</v>
      </c>
      <c r="F96" s="226">
        <f>L_CViec!AF77</f>
        <v>0</v>
      </c>
      <c r="G96" s="371">
        <f>L_CViec!AG77</f>
        <v>0</v>
      </c>
      <c r="H96" s="127">
        <f>L_CViec!AH77</f>
        <v>0</v>
      </c>
      <c r="I96" s="622">
        <f>SUM(I97:I98)</f>
        <v>28012.7925</v>
      </c>
      <c r="J96" s="741">
        <f>SUM(J97:J98)</f>
        <v>681.15384615384608</v>
      </c>
      <c r="K96" s="514">
        <f>SUM(K97:K98)</f>
        <v>4492.3076923076924</v>
      </c>
      <c r="M96" s="200"/>
      <c r="N96" s="71"/>
    </row>
    <row r="97" spans="1:16" s="66" customFormat="1" ht="32.25" customHeight="1">
      <c r="A97" s="228" t="str">
        <f>L_CViec!A78</f>
        <v>1.1</v>
      </c>
      <c r="B97" s="225" t="str">
        <f>L_CViec!B78</f>
        <v>Hoàn thiện BĐĐC và Sổ mục kê đất đai theo kết quả đăng ký, cấp GCN</v>
      </c>
      <c r="C97" s="226" t="str">
        <f>L_CViec!AD78</f>
        <v>Bộ/đĩa</v>
      </c>
      <c r="D97" s="226">
        <f>L_CViec!AC78</f>
        <v>1</v>
      </c>
      <c r="E97" s="226" t="str">
        <f>L_CViec!AE78</f>
        <v>1KS4</v>
      </c>
      <c r="F97" s="226" t="str">
        <f>L_CViec!AF78</f>
        <v>1-3</v>
      </c>
      <c r="G97" s="371">
        <f>L_CViec!AG78</f>
        <v>1200</v>
      </c>
      <c r="H97" s="127">
        <f>L_CViec!AH78</f>
        <v>400182.75</v>
      </c>
      <c r="I97" s="127">
        <f>G97*H97/20000</f>
        <v>24010.965</v>
      </c>
      <c r="J97" s="741">
        <f>$D97*$G97*L_CBac!$J$68/20000</f>
        <v>583.84615384615381</v>
      </c>
      <c r="K97" s="514">
        <f>$D97*$G97*L_CBac!$J$69/8000</f>
        <v>4211.5384615384619</v>
      </c>
      <c r="M97" s="200"/>
      <c r="N97" s="71"/>
    </row>
    <row r="98" spans="1:16" s="66" customFormat="1" ht="20.25" customHeight="1">
      <c r="A98" s="228" t="str">
        <f>L_CViec!A79</f>
        <v>1.2</v>
      </c>
      <c r="B98" s="225" t="str">
        <f>L_CViec!B79</f>
        <v>Lập, cập nhật hoàn thiện Sổ địa chính điện tử</v>
      </c>
      <c r="C98" s="226" t="str">
        <f>L_CViec!AD79</f>
        <v>Thửa</v>
      </c>
      <c r="D98" s="226">
        <f>L_CViec!AC79</f>
        <v>1</v>
      </c>
      <c r="E98" s="226" t="str">
        <f>L_CViec!AE79</f>
        <v>1KS4</v>
      </c>
      <c r="F98" s="226" t="str">
        <f>L_CViec!AF79</f>
        <v>1-3</v>
      </c>
      <c r="G98" s="226">
        <f>L_CViec!AG79</f>
        <v>0.01</v>
      </c>
      <c r="H98" s="127">
        <f>L_CViec!AH79</f>
        <v>400182.75</v>
      </c>
      <c r="I98" s="127">
        <f>G98*H98</f>
        <v>4001.8274999999999</v>
      </c>
      <c r="J98" s="741">
        <f>$D98*$G98*L_CBac!$J$68</f>
        <v>97.307692307692307</v>
      </c>
      <c r="K98" s="514">
        <f>$D98*$G98*L_CBac!$J$69</f>
        <v>280.76923076923077</v>
      </c>
      <c r="M98" s="200"/>
      <c r="N98" s="71"/>
    </row>
    <row r="99" spans="1:16" s="50" customFormat="1" ht="33.75" customHeight="1">
      <c r="A99" s="226" t="str">
        <f>L_CViec!A80</f>
        <v>2</v>
      </c>
      <c r="B99" s="225" t="str">
        <f>L_CViec!B80</f>
        <v>Sao, in ấn hồ sơ địa chính để cung cấp cho cấp xã quản lý và khai thác sử dụng</v>
      </c>
      <c r="C99" s="226">
        <f>L_CViec!AD80</f>
        <v>0</v>
      </c>
      <c r="D99" s="226">
        <f>L_CViec!AC80</f>
        <v>0</v>
      </c>
      <c r="E99" s="226">
        <f>L_CViec!AE80</f>
        <v>0</v>
      </c>
      <c r="F99" s="226">
        <f>L_CViec!AF80</f>
        <v>0</v>
      </c>
      <c r="G99" s="226">
        <f>L_CViec!AG80</f>
        <v>0</v>
      </c>
      <c r="H99" s="127">
        <f>L_CViec!AH80</f>
        <v>0</v>
      </c>
      <c r="I99" s="622">
        <f>SUM(I100:I101)</f>
        <v>730.33351875000005</v>
      </c>
      <c r="J99" s="741">
        <f>$D99*$G99*L_CBac!$J$68</f>
        <v>0</v>
      </c>
      <c r="K99" s="514">
        <f>$D99*$G99*L_CBac!$J$69</f>
        <v>0</v>
      </c>
      <c r="M99" s="722"/>
      <c r="N99" s="71"/>
    </row>
    <row r="100" spans="1:16" s="66" customFormat="1">
      <c r="A100" s="228" t="str">
        <f>L_CViec!A81</f>
        <v>2.1</v>
      </c>
      <c r="B100" s="225" t="str">
        <f>L_CViec!B81</f>
        <v>Bản đồ địa chính</v>
      </c>
      <c r="C100" s="226" t="str">
        <f>L_CViec!AD81</f>
        <v>Tờ</v>
      </c>
      <c r="D100" s="485">
        <f>L_CViec!AC81</f>
        <v>1</v>
      </c>
      <c r="E100" s="226" t="str">
        <f>L_CViec!AE81</f>
        <v>1KS4</v>
      </c>
      <c r="F100" s="226" t="str">
        <f>L_CViec!AF81</f>
        <v>1-3</v>
      </c>
      <c r="G100" s="226">
        <f>L_CViec!AG81</f>
        <v>2.5000000000000001E-2</v>
      </c>
      <c r="H100" s="127">
        <f>L_CViec!AH81</f>
        <v>400182.75</v>
      </c>
      <c r="I100" s="127">
        <f>G100*H100/20000*250*2</f>
        <v>250.11421874999999</v>
      </c>
      <c r="J100" s="741">
        <f>$D100*$G100*L_CBac!$J$68/20000*250*2</f>
        <v>6.0817307692307692</v>
      </c>
      <c r="K100" s="514">
        <f>$D100*$G100*L_CBac!$J$69/8000*60</f>
        <v>5.2644230769230775</v>
      </c>
      <c r="M100" s="200"/>
      <c r="N100" s="71"/>
    </row>
    <row r="101" spans="1:16" s="66" customFormat="1">
      <c r="A101" s="228" t="str">
        <f>L_CViec!A82</f>
        <v>2.2</v>
      </c>
      <c r="B101" s="225" t="str">
        <f>L_CViec!B82</f>
        <v>Sao Sổ địa chính, Sổ mục kê đất đai</v>
      </c>
      <c r="C101" s="226" t="str">
        <f>L_CViec!AD82</f>
        <v>Bộ/đĩa</v>
      </c>
      <c r="D101" s="226">
        <f>L_CViec!AC82</f>
        <v>1</v>
      </c>
      <c r="E101" s="226" t="str">
        <f>L_CViec!AE82</f>
        <v>1KS4</v>
      </c>
      <c r="F101" s="226" t="str">
        <f>L_CViec!AF82</f>
        <v>1-3</v>
      </c>
      <c r="G101" s="226">
        <f>L_CViec!AG82</f>
        <v>8</v>
      </c>
      <c r="H101" s="127">
        <f>L_CViec!AH82</f>
        <v>400182.75</v>
      </c>
      <c r="I101" s="127">
        <f>G101*H101/20000*3</f>
        <v>480.21930000000003</v>
      </c>
      <c r="J101" s="741">
        <f>$D101*$G101*L_CBac!$J$68/20000*3</f>
        <v>11.676923076923076</v>
      </c>
      <c r="K101" s="514">
        <f>$D101*$G101*L_CBac!$J$69/8000</f>
        <v>28.076923076923077</v>
      </c>
      <c r="M101" s="200"/>
      <c r="N101" s="71"/>
    </row>
    <row r="102" spans="1:16" s="50" customFormat="1" ht="26">
      <c r="A102" s="226" t="str">
        <f>L_CViec!A83</f>
        <v>3</v>
      </c>
      <c r="B102" s="225" t="str">
        <f>L_CViec!B83</f>
        <v>Bàn giao HSĐC cho cấp xã để quản lý và khai thác sử dụng</v>
      </c>
      <c r="C102" s="226" t="str">
        <f>L_CViec!AD83</f>
        <v xml:space="preserve">Bộ/xã, phường, </v>
      </c>
      <c r="D102" s="226">
        <f>L_CViec!AC83</f>
        <v>1</v>
      </c>
      <c r="E102" s="226" t="str">
        <f>L_CViec!AE83</f>
        <v>1KS4</v>
      </c>
      <c r="F102" s="226" t="str">
        <f>L_CViec!AF83</f>
        <v>1-3</v>
      </c>
      <c r="G102" s="226">
        <f>L_CViec!AG83</f>
        <v>32</v>
      </c>
      <c r="H102" s="127">
        <f>L_CViec!AH83</f>
        <v>400182.75</v>
      </c>
      <c r="I102" s="622">
        <f>G102*H102/20000</f>
        <v>640.29240000000004</v>
      </c>
      <c r="J102" s="741">
        <f>$D102*$G102*L_CBac!$J$68/20000</f>
        <v>15.569230769230769</v>
      </c>
      <c r="K102" s="514">
        <f>$D102*$G102*L_CBac!$J$69/8000</f>
        <v>112.30769230769231</v>
      </c>
      <c r="M102" s="200"/>
      <c r="N102" s="71"/>
    </row>
    <row r="103" spans="1:16" s="50" customFormat="1" ht="44.25" customHeight="1">
      <c r="A103" s="704" t="str">
        <f>L_CViec!A84</f>
        <v>I.3</v>
      </c>
      <c r="B103" s="705" t="str">
        <f>L_CViec!B84</f>
        <v>GHI CHÚ</v>
      </c>
      <c r="C103" s="705">
        <f>L_CViec!AD84</f>
        <v>0</v>
      </c>
      <c r="D103" s="705">
        <f>L_CViec!AC84</f>
        <v>0</v>
      </c>
      <c r="E103" s="705">
        <f>L_CViec!AE84</f>
        <v>0</v>
      </c>
      <c r="F103" s="705">
        <f>L_CViec!AF84</f>
        <v>0</v>
      </c>
      <c r="G103" s="704" t="s">
        <v>24</v>
      </c>
      <c r="H103" s="706" t="s">
        <v>700</v>
      </c>
      <c r="I103" s="706" t="s">
        <v>701</v>
      </c>
      <c r="J103" s="740"/>
      <c r="K103" s="514"/>
    </row>
    <row r="104" spans="1:16" s="50" customFormat="1" ht="44.25" customHeight="1">
      <c r="A104" s="684" t="str">
        <f>L_CViec!A85</f>
        <v>1</v>
      </c>
      <c r="B104" s="959" t="str">
        <f>L_CViec!B85</f>
        <v>(1) Định mức trên đây tính cho các công việc đăng ký, cấp GCN đối với quyền sử dụng đất. Trường hợp đăng ký, cấp GCN đối với cả đất và tài sản gắn liền với đất thì định mức tính cho 1 hồ sơ đăng ký cả đất và tài sản bằng 1,6 lần định mức lao động cho 1 hồ sơ đăng ký đối với đất quy định tại Bảng này</v>
      </c>
      <c r="C104" s="959"/>
      <c r="D104" s="959"/>
      <c r="E104" s="959"/>
      <c r="F104" s="959"/>
      <c r="G104" s="959"/>
      <c r="H104" s="959"/>
      <c r="I104" s="959"/>
      <c r="J104" s="959"/>
      <c r="K104" s="959"/>
    </row>
    <row r="105" spans="1:16" s="50" customFormat="1" ht="42.75" customHeight="1">
      <c r="A105" s="487" t="str">
        <f>L_CViec!A86</f>
        <v>2</v>
      </c>
      <c r="B105" s="959" t="s">
        <v>672</v>
      </c>
      <c r="C105" s="959"/>
      <c r="D105" s="959"/>
      <c r="E105" s="959"/>
      <c r="F105" s="959"/>
      <c r="G105" s="959"/>
      <c r="H105" s="959"/>
      <c r="I105" s="959"/>
      <c r="J105" s="959"/>
      <c r="K105" s="959"/>
    </row>
    <row r="106" spans="1:16" s="50" customFormat="1" ht="34.5" customHeight="1">
      <c r="A106" s="487" t="str">
        <f>L_CViec!A87</f>
        <v>3</v>
      </c>
      <c r="B106" s="959" t="str">
        <f>L_CViec!B87</f>
        <v>(3) Đối với các hồ sơ không có nhu cầu hoặc không đủ điều kiện cấp GCN thì được tính định mức đối với Mục 1, 2, 3, 4, 5, 6, 7, 10, 11, 13  và 16 các nội dung thực hiện tại địa bàn xã, phường, đặc khu; Mục 1, 2, 3 các nội dung thực hiện tại địa bàn tỉnh của Bảng 6.</v>
      </c>
      <c r="C106" s="959"/>
      <c r="D106" s="959"/>
      <c r="E106" s="959"/>
      <c r="F106" s="959"/>
      <c r="G106" s="959"/>
      <c r="H106" s="959"/>
      <c r="I106" s="959"/>
      <c r="J106" s="959"/>
      <c r="K106" s="959"/>
    </row>
    <row r="107" spans="1:16" s="50" customFormat="1" ht="39.75" customHeight="1">
      <c r="A107" s="487">
        <v>4</v>
      </c>
      <c r="B107" s="959" t="str">
        <f>L_CViec!B88</f>
        <v>(4) Trường hợp người sử dụng đất đã đăng ký đất đai theo quy định của pháp luật mà có nhu cầu và đủ điều kiện cấp GCN thì được tính định mức đối với Mục 2, 7, 12, ,17, 18, 19, 20, 21, 24, 25, 26 và 29 các nội dung thực hiện tại địa bàn xã, phường, đặc khu; Mục 1, 2, 3 các nội dung thực hiện tại địa bàn tỉnh của Bảng này.</v>
      </c>
      <c r="C107" s="959"/>
      <c r="D107" s="959"/>
      <c r="E107" s="959"/>
      <c r="F107" s="959"/>
      <c r="G107" s="959"/>
      <c r="H107" s="959"/>
      <c r="I107" s="959"/>
      <c r="J107" s="959"/>
      <c r="K107" s="959"/>
    </row>
    <row r="108" spans="1:16" s="50" customFormat="1" ht="33.75" customHeight="1">
      <c r="A108" s="487" t="str">
        <f>L_CViec!A89</f>
        <v>5</v>
      </c>
      <c r="B108" s="959" t="str">
        <f>L_CViec!B89</f>
        <v>(5) Đơn vị tính tại Bảng này trong trường hợp sử dụng là “Bộ/đĩa”, “Bộ/xã, phường, đặc khu” được tính trung bình cho 20.000 hồ sơ/1 xã, phường, đặc khu; trong trường hợp sử dụng là “Tờ” được tính trung bình 250 tờ bản đồ/1 xã, phường, đặc khu.</v>
      </c>
      <c r="C108" s="959"/>
      <c r="D108" s="959"/>
      <c r="E108" s="959"/>
      <c r="F108" s="959"/>
      <c r="G108" s="959"/>
      <c r="H108" s="959"/>
      <c r="I108" s="959"/>
      <c r="J108" s="959"/>
      <c r="K108" s="959"/>
    </row>
    <row r="109" spans="1:16" s="50" customFormat="1" ht="24.75" customHeight="1">
      <c r="A109" s="487" t="str">
        <f>L_CViec!A90</f>
        <v>6</v>
      </c>
      <c r="B109" s="959" t="str">
        <f>L_CViec!B90</f>
        <v>(6) Đơn vị tính tại Bảng này trong trường hợp sử dụng là “Điểm” được tính trung bình cho 10 điểm/1 xã, phường, đặc khu và “Cuộc” được tính trung bình cho 10 cuộc/1 xã, phường, đặc khu.</v>
      </c>
      <c r="C109" s="959"/>
      <c r="D109" s="959"/>
      <c r="E109" s="959"/>
      <c r="F109" s="959"/>
      <c r="G109" s="959"/>
      <c r="H109" s="959"/>
      <c r="I109" s="959"/>
      <c r="J109" s="959"/>
      <c r="K109" s="959"/>
    </row>
    <row r="110" spans="1:16" s="24" customFormat="1">
      <c r="A110" s="24" t="s">
        <v>301</v>
      </c>
      <c r="B110" s="274"/>
      <c r="C110" s="275"/>
      <c r="D110" s="275"/>
      <c r="E110" s="275"/>
      <c r="F110" s="275"/>
      <c r="G110" s="276"/>
      <c r="H110" s="277"/>
      <c r="I110" s="277"/>
      <c r="J110" s="742"/>
      <c r="K110" s="277"/>
    </row>
    <row r="111" spans="1:16" s="23" customFormat="1" ht="15" customHeight="1">
      <c r="A111" s="961" t="s">
        <v>23</v>
      </c>
      <c r="B111" s="952" t="s">
        <v>44</v>
      </c>
      <c r="C111" s="944" t="s">
        <v>38</v>
      </c>
      <c r="D111" s="479"/>
      <c r="E111" s="944" t="s">
        <v>16</v>
      </c>
      <c r="F111" s="479" t="s">
        <v>96</v>
      </c>
      <c r="G111" s="943" t="s">
        <v>297</v>
      </c>
      <c r="H111" s="943"/>
      <c r="I111" s="943"/>
      <c r="J111" s="941" t="s">
        <v>309</v>
      </c>
      <c r="K111" s="943" t="s">
        <v>420</v>
      </c>
      <c r="L111" s="943"/>
      <c r="M111" s="943"/>
      <c r="N111" s="962" t="s">
        <v>313</v>
      </c>
      <c r="O111" s="962"/>
      <c r="P111" s="962"/>
    </row>
    <row r="112" spans="1:16" s="23" customFormat="1" ht="26">
      <c r="A112" s="961"/>
      <c r="B112" s="952"/>
      <c r="C112" s="944"/>
      <c r="D112" s="479"/>
      <c r="E112" s="944"/>
      <c r="F112" s="479" t="s">
        <v>24</v>
      </c>
      <c r="G112" s="480" t="s">
        <v>316</v>
      </c>
      <c r="H112" s="480" t="s">
        <v>315</v>
      </c>
      <c r="I112" s="480" t="s">
        <v>314</v>
      </c>
      <c r="J112" s="942"/>
      <c r="K112" s="480" t="s">
        <v>316</v>
      </c>
      <c r="L112" s="480" t="s">
        <v>315</v>
      </c>
      <c r="M112" s="480" t="s">
        <v>314</v>
      </c>
      <c r="N112" s="729" t="s">
        <v>316</v>
      </c>
      <c r="O112" s="729" t="s">
        <v>315</v>
      </c>
      <c r="P112" s="730" t="s">
        <v>314</v>
      </c>
    </row>
    <row r="113" spans="1:16" s="51" customFormat="1" ht="50.25" customHeight="1">
      <c r="A113" s="723" t="str">
        <f>L_CViec!A91</f>
        <v>II</v>
      </c>
      <c r="B113" s="972" t="str">
        <f>L_CViec!B91</f>
        <v>Đăng ký, cấp Giấy chứng nhận lần đầu đơn lẻ đối với hộ gia đình, cá nhân, cộng đồng dân cư, tổ chức trong nước, người gốc Việt Nam định cư ở nước ngoài tại địa bàn xã, phường</v>
      </c>
      <c r="C113" s="972"/>
      <c r="D113" s="972"/>
      <c r="E113" s="972"/>
      <c r="F113" s="972"/>
      <c r="G113" s="972"/>
      <c r="H113" s="972"/>
      <c r="I113" s="972"/>
      <c r="J113" s="972"/>
      <c r="K113" s="475"/>
      <c r="L113" s="475"/>
      <c r="M113" s="475"/>
      <c r="N113" s="731"/>
      <c r="O113" s="731"/>
      <c r="P113" s="731"/>
    </row>
    <row r="114" spans="1:16" s="51" customFormat="1">
      <c r="A114" s="939" t="str">
        <f>L_CViec!A92</f>
        <v>II.1</v>
      </c>
      <c r="B114" s="914" t="s">
        <v>823</v>
      </c>
      <c r="C114" s="914"/>
      <c r="D114" s="408"/>
      <c r="E114" s="223" t="s">
        <v>311</v>
      </c>
      <c r="F114" s="940">
        <v>1</v>
      </c>
      <c r="G114" s="408"/>
      <c r="H114" s="408"/>
      <c r="I114" s="495"/>
      <c r="J114" s="718"/>
      <c r="K114" s="475">
        <f>SUM(K$140,K141,K142,K148,K150,K162,K163,K166,K167,K170,K172,K173,K175,K179,K180,K181,K183,K185,K186,K192,K193,K145,K146,K189,K190,K191)</f>
        <v>1458222.6780000001</v>
      </c>
      <c r="L114" s="475">
        <f t="shared" ref="L114:P114" si="6">SUM(L$140,L141,L142,L148,L150,L162,L163,L166,L167,L170,L172,L173,L175,L179,L180,L181,L183,L185,L186,L192,L193,L145,L146,L189,L190,L191)</f>
        <v>1442179.3154999998</v>
      </c>
      <c r="M114" s="475">
        <f t="shared" si="6"/>
        <v>2122374.6225000001</v>
      </c>
      <c r="N114" s="475">
        <f t="shared" si="6"/>
        <v>43360.307692307688</v>
      </c>
      <c r="O114" s="475">
        <f t="shared" si="6"/>
        <v>42873.769230769227</v>
      </c>
      <c r="P114" s="475">
        <f t="shared" si="6"/>
        <v>63308.384615384595</v>
      </c>
    </row>
    <row r="115" spans="1:16" s="51" customFormat="1" ht="15" customHeight="1">
      <c r="A115" s="939"/>
      <c r="B115" s="914"/>
      <c r="C115" s="914"/>
      <c r="D115" s="408"/>
      <c r="E115" s="223" t="s">
        <v>197</v>
      </c>
      <c r="F115" s="940"/>
      <c r="G115" s="408"/>
      <c r="H115" s="408"/>
      <c r="I115" s="495"/>
      <c r="J115" s="718"/>
      <c r="K115" s="475">
        <f t="shared" ref="K115:P115" si="7">K151</f>
        <v>105881.29999999999</v>
      </c>
      <c r="L115" s="475">
        <f t="shared" si="7"/>
        <v>105881.29999999999</v>
      </c>
      <c r="M115" s="475">
        <f t="shared" si="7"/>
        <v>137645.69</v>
      </c>
      <c r="N115" s="475">
        <f t="shared" si="7"/>
        <v>6811.538461538461</v>
      </c>
      <c r="O115" s="475">
        <f t="shared" si="7"/>
        <v>6811.538461538461</v>
      </c>
      <c r="P115" s="475">
        <f t="shared" si="7"/>
        <v>8855</v>
      </c>
    </row>
    <row r="116" spans="1:16" s="51" customFormat="1" ht="15" customHeight="1">
      <c r="A116" s="939"/>
      <c r="B116" s="914"/>
      <c r="C116" s="914"/>
      <c r="D116" s="408"/>
      <c r="E116" s="223" t="s">
        <v>311</v>
      </c>
      <c r="F116" s="940">
        <v>2</v>
      </c>
      <c r="G116" s="408"/>
      <c r="H116" s="408"/>
      <c r="I116" s="408"/>
      <c r="J116" s="718"/>
      <c r="K116" s="475">
        <f>SUM(K$140,K141,K142,K148,K152,K162,K163,K166,K167,K170,K172,K173,K175,K179,K180,K181,K183,K185,K186,K192,K193,K145,K146,K189,K190,K191)</f>
        <v>1513707.4754999999</v>
      </c>
      <c r="L116" s="475">
        <f t="shared" ref="L116:P116" si="8">SUM(L$140,L141,L142,L148,L152,L162,L163,L166,L167,L170,L172,L173,L175,L179,L180,L181,L183,L185,L186,L192,L193,L145,L146,L189,L190,L191)</f>
        <v>1497664.1130000001</v>
      </c>
      <c r="M116" s="475">
        <f t="shared" si="8"/>
        <v>2194504.8592500002</v>
      </c>
      <c r="N116" s="475">
        <f t="shared" si="8"/>
        <v>45111.846153846149</v>
      </c>
      <c r="O116" s="475">
        <f t="shared" si="8"/>
        <v>44625.307692307681</v>
      </c>
      <c r="P116" s="475">
        <f t="shared" si="8"/>
        <v>65585.384615384595</v>
      </c>
    </row>
    <row r="117" spans="1:16" s="51" customFormat="1" ht="15" customHeight="1">
      <c r="A117" s="939"/>
      <c r="B117" s="914"/>
      <c r="C117" s="914"/>
      <c r="D117" s="408"/>
      <c r="E117" s="223" t="s">
        <v>197</v>
      </c>
      <c r="F117" s="940"/>
      <c r="G117" s="408"/>
      <c r="H117" s="408"/>
      <c r="I117" s="408"/>
      <c r="J117" s="718"/>
      <c r="K117" s="475">
        <f t="shared" ref="K117:P117" si="9">K153</f>
        <v>116469.43000000001</v>
      </c>
      <c r="L117" s="475">
        <f t="shared" si="9"/>
        <v>116469.43000000001</v>
      </c>
      <c r="M117" s="475">
        <f t="shared" si="9"/>
        <v>151410.25899999999</v>
      </c>
      <c r="N117" s="731">
        <f>N153</f>
        <v>7492.6923076923076</v>
      </c>
      <c r="O117" s="731">
        <f t="shared" si="9"/>
        <v>7492.6923076923076</v>
      </c>
      <c r="P117" s="731">
        <f t="shared" si="9"/>
        <v>9740.4999999999982</v>
      </c>
    </row>
    <row r="118" spans="1:16" s="51" customFormat="1" ht="15" customHeight="1">
      <c r="A118" s="939"/>
      <c r="B118" s="914"/>
      <c r="C118" s="914"/>
      <c r="D118" s="408"/>
      <c r="E118" s="223" t="s">
        <v>311</v>
      </c>
      <c r="F118" s="940">
        <v>3</v>
      </c>
      <c r="G118" s="408"/>
      <c r="H118" s="408"/>
      <c r="I118" s="408"/>
      <c r="J118" s="718"/>
      <c r="K118" s="475">
        <f>SUM(K$140,K141,K142,K148,K154,K162,K163,K166,K167,K170,K172,K173,K175,K179,K180,K181,K183,K185,K186,K192,K193,K145,K146,K189,K190,K191)</f>
        <v>1574740.75275</v>
      </c>
      <c r="L118" s="475">
        <f t="shared" ref="L118:P118" si="10">SUM(L$140,L141,L142,L148,L154,L162,L163,L166,L167,L170,L172,L173,L175,L179,L180,L181,L183,L185,L186,L192,L193,L145,L146,L189,L190,L191)</f>
        <v>1558697.3902499999</v>
      </c>
      <c r="M118" s="475">
        <f t="shared" si="10"/>
        <v>2274033.0690000001</v>
      </c>
      <c r="N118" s="475">
        <f t="shared" si="10"/>
        <v>47038.538461538454</v>
      </c>
      <c r="O118" s="475">
        <f t="shared" si="10"/>
        <v>46551.999999999993</v>
      </c>
      <c r="P118" s="475">
        <f t="shared" si="10"/>
        <v>68095.923076923049</v>
      </c>
    </row>
    <row r="119" spans="1:16" s="51" customFormat="1" ht="15" customHeight="1">
      <c r="A119" s="939"/>
      <c r="B119" s="914"/>
      <c r="C119" s="914"/>
      <c r="D119" s="408"/>
      <c r="E119" s="223" t="s">
        <v>197</v>
      </c>
      <c r="F119" s="940"/>
      <c r="G119" s="408"/>
      <c r="H119" s="408"/>
      <c r="I119" s="408"/>
      <c r="J119" s="718"/>
      <c r="K119" s="475">
        <f t="shared" ref="K119:L119" si="11">K155</f>
        <v>128116.37299999999</v>
      </c>
      <c r="L119" s="475">
        <f t="shared" si="11"/>
        <v>128116.37299999999</v>
      </c>
      <c r="M119" s="475">
        <f>M155</f>
        <v>166536.15899999999</v>
      </c>
      <c r="N119" s="475">
        <f t="shared" ref="N119:P119" si="12">N155</f>
        <v>8241.9615384615372</v>
      </c>
      <c r="O119" s="475">
        <f t="shared" si="12"/>
        <v>8241.9615384615372</v>
      </c>
      <c r="P119" s="475">
        <f t="shared" si="12"/>
        <v>10713.576923076922</v>
      </c>
    </row>
    <row r="120" spans="1:16" s="829" customFormat="1" ht="15" customHeight="1">
      <c r="A120" s="964" t="s">
        <v>531</v>
      </c>
      <c r="B120" s="970" t="s">
        <v>824</v>
      </c>
      <c r="C120" s="970"/>
      <c r="D120" s="826"/>
      <c r="E120" s="827" t="s">
        <v>311</v>
      </c>
      <c r="F120" s="971">
        <v>1</v>
      </c>
      <c r="G120" s="826"/>
      <c r="H120" s="826"/>
      <c r="I120" s="826"/>
      <c r="J120" s="828"/>
      <c r="K120" s="767">
        <f>SUM(K$140,K141,K142,K148,K150,K162,K163,K166,K167,K170,K172,K173,K175,K179,K180,K183,K185,K186,K192,K193,K145,K146,K189,K190,K191)</f>
        <v>1386117.6780000001</v>
      </c>
      <c r="L120" s="767">
        <f t="shared" ref="L120:P120" si="13">SUM(L$140,L141,L142,L148,L150,L162,L163,L166,L167,L170,L172,L173,L175,L179,L180,L183,L185,L186,L192,L193,L145,L146,L189,L190,L191)</f>
        <v>1370074.3154999998</v>
      </c>
      <c r="M120" s="767">
        <f t="shared" si="13"/>
        <v>2050269.6225000003</v>
      </c>
      <c r="N120" s="767">
        <f t="shared" si="13"/>
        <v>41414.153846153844</v>
      </c>
      <c r="O120" s="767">
        <f t="shared" si="13"/>
        <v>40927.615384615383</v>
      </c>
      <c r="P120" s="767">
        <f t="shared" si="13"/>
        <v>61362.230769230751</v>
      </c>
    </row>
    <row r="121" spans="1:16" s="829" customFormat="1" ht="15" customHeight="1">
      <c r="A121" s="965"/>
      <c r="B121" s="970"/>
      <c r="C121" s="970"/>
      <c r="D121" s="826"/>
      <c r="E121" s="827" t="s">
        <v>197</v>
      </c>
      <c r="F121" s="971"/>
      <c r="G121" s="826"/>
      <c r="H121" s="826"/>
      <c r="I121" s="826"/>
      <c r="J121" s="828"/>
      <c r="K121" s="767">
        <f>K115</f>
        <v>105881.29999999999</v>
      </c>
      <c r="L121" s="767">
        <f t="shared" ref="L121:P121" si="14">L115</f>
        <v>105881.29999999999</v>
      </c>
      <c r="M121" s="767">
        <f t="shared" si="14"/>
        <v>137645.69</v>
      </c>
      <c r="N121" s="767">
        <f t="shared" si="14"/>
        <v>6811.538461538461</v>
      </c>
      <c r="O121" s="767">
        <f t="shared" si="14"/>
        <v>6811.538461538461</v>
      </c>
      <c r="P121" s="767">
        <f t="shared" si="14"/>
        <v>8855</v>
      </c>
    </row>
    <row r="122" spans="1:16" s="829" customFormat="1" ht="15" customHeight="1">
      <c r="A122" s="965"/>
      <c r="B122" s="970"/>
      <c r="C122" s="970"/>
      <c r="D122" s="826"/>
      <c r="E122" s="827" t="s">
        <v>311</v>
      </c>
      <c r="F122" s="971">
        <v>2</v>
      </c>
      <c r="G122" s="826"/>
      <c r="H122" s="826"/>
      <c r="I122" s="826"/>
      <c r="J122" s="828"/>
      <c r="K122" s="767">
        <f>SUM(K$140,K141,K142,K148,K152,K162,K163,K166,K167,K170,K172,K173,K175,K179,K180,K183,K185,K186,K192,K193,K145,K146,K189,K190,K191)</f>
        <v>1441602.4754999999</v>
      </c>
      <c r="L122" s="767">
        <f t="shared" ref="L122:P122" si="15">SUM(L$140,L141,L142,L148,L152,L162,L163,L166,L167,L170,L172,L173,L175,L179,L180,L183,L185,L186,L192,L193,L145,L146,L189,L190,L191)</f>
        <v>1425559.1130000001</v>
      </c>
      <c r="M122" s="767">
        <f t="shared" si="15"/>
        <v>2122399.8592500002</v>
      </c>
      <c r="N122" s="767">
        <f t="shared" si="15"/>
        <v>43165.692307692305</v>
      </c>
      <c r="O122" s="767">
        <f t="shared" si="15"/>
        <v>42679.153846153837</v>
      </c>
      <c r="P122" s="767">
        <f t="shared" si="15"/>
        <v>63639.230769230751</v>
      </c>
    </row>
    <row r="123" spans="1:16" s="829" customFormat="1" ht="15" customHeight="1">
      <c r="A123" s="965"/>
      <c r="B123" s="970"/>
      <c r="C123" s="970"/>
      <c r="D123" s="826"/>
      <c r="E123" s="827" t="s">
        <v>197</v>
      </c>
      <c r="F123" s="971"/>
      <c r="G123" s="826"/>
      <c r="H123" s="826"/>
      <c r="I123" s="826"/>
      <c r="J123" s="828"/>
      <c r="K123" s="767">
        <f>K117</f>
        <v>116469.43000000001</v>
      </c>
      <c r="L123" s="767">
        <f t="shared" ref="L123:P123" si="16">L117</f>
        <v>116469.43000000001</v>
      </c>
      <c r="M123" s="767">
        <f t="shared" si="16"/>
        <v>151410.25899999999</v>
      </c>
      <c r="N123" s="767">
        <f t="shared" si="16"/>
        <v>7492.6923076923076</v>
      </c>
      <c r="O123" s="767">
        <f t="shared" si="16"/>
        <v>7492.6923076923076</v>
      </c>
      <c r="P123" s="767">
        <f t="shared" si="16"/>
        <v>9740.4999999999982</v>
      </c>
    </row>
    <row r="124" spans="1:16" s="829" customFormat="1" ht="15" customHeight="1">
      <c r="A124" s="965"/>
      <c r="B124" s="970"/>
      <c r="C124" s="970"/>
      <c r="D124" s="826"/>
      <c r="E124" s="827" t="s">
        <v>311</v>
      </c>
      <c r="F124" s="971">
        <v>3</v>
      </c>
      <c r="G124" s="826"/>
      <c r="H124" s="826"/>
      <c r="I124" s="826"/>
      <c r="J124" s="828"/>
      <c r="K124" s="767">
        <f>SUM(K$140,K141,K142,K148,K154,K162,K163,K166,K167,K170,K172,K173,K175,K179,K180,K183,K185,K186,K192,K193,K145,K146,K189,K190,K191)</f>
        <v>1502635.75275</v>
      </c>
      <c r="L124" s="767">
        <f t="shared" ref="L124:P124" si="17">SUM(L$140,L141,L142,L148,L154,L162,L163,L166,L167,L170,L172,L173,L175,L179,L180,L183,L185,L186,L192,L193,L145,L146,L189,L190,L191)</f>
        <v>1486592.3902499999</v>
      </c>
      <c r="M124" s="767">
        <f t="shared" si="17"/>
        <v>2201928.0690000001</v>
      </c>
      <c r="N124" s="767">
        <f t="shared" si="17"/>
        <v>45092.38461538461</v>
      </c>
      <c r="O124" s="767">
        <f t="shared" si="17"/>
        <v>44605.846153846149</v>
      </c>
      <c r="P124" s="767">
        <f t="shared" si="17"/>
        <v>66149.769230769205</v>
      </c>
    </row>
    <row r="125" spans="1:16" s="829" customFormat="1" ht="15" customHeight="1">
      <c r="A125" s="965"/>
      <c r="B125" s="970"/>
      <c r="C125" s="970"/>
      <c r="D125" s="826"/>
      <c r="E125" s="827" t="s">
        <v>197</v>
      </c>
      <c r="F125" s="971"/>
      <c r="G125" s="826"/>
      <c r="H125" s="826"/>
      <c r="I125" s="826"/>
      <c r="J125" s="828"/>
      <c r="K125" s="767">
        <f>K119</f>
        <v>128116.37299999999</v>
      </c>
      <c r="L125" s="767">
        <f t="shared" ref="L125:P125" si="18">L119</f>
        <v>128116.37299999999</v>
      </c>
      <c r="M125" s="767">
        <f t="shared" si="18"/>
        <v>166536.15899999999</v>
      </c>
      <c r="N125" s="767">
        <f t="shared" si="18"/>
        <v>8241.9615384615372</v>
      </c>
      <c r="O125" s="767">
        <f t="shared" si="18"/>
        <v>8241.9615384615372</v>
      </c>
      <c r="P125" s="767">
        <f t="shared" si="18"/>
        <v>10713.576923076922</v>
      </c>
    </row>
    <row r="126" spans="1:16" s="51" customFormat="1" ht="15" customHeight="1">
      <c r="A126" s="939" t="s">
        <v>531</v>
      </c>
      <c r="B126" s="914" t="s">
        <v>830</v>
      </c>
      <c r="C126" s="914"/>
      <c r="D126" s="408"/>
      <c r="E126" s="223" t="s">
        <v>311</v>
      </c>
      <c r="F126" s="940">
        <v>1</v>
      </c>
      <c r="G126" s="408"/>
      <c r="H126" s="408"/>
      <c r="I126" s="408"/>
      <c r="J126" s="718"/>
      <c r="K126" s="475">
        <f>SUM(K$140,K141,K142,K148,K156,K162,K163,K166,K167,K170,K171,K172,K173,K175,K179,K180,K181,K183,K185,K186,K192,K193,K145,K146,K189,K190,K191)</f>
        <v>1537898.703</v>
      </c>
      <c r="L126" s="475">
        <f t="shared" ref="L126:P126" si="19">SUM(L$140,L141,L142,L148,L156,L162,L163,L166,L167,L170,L171,L172,L173,L175,L179,L180,L181,L183,L185,L186,L192,L193,L145,L146,L189,L190,L191)</f>
        <v>1521855.3405000002</v>
      </c>
      <c r="M126" s="475">
        <f t="shared" si="19"/>
        <v>2220545.58</v>
      </c>
      <c r="N126" s="475">
        <f t="shared" si="19"/>
        <v>45792.999999999993</v>
      </c>
      <c r="O126" s="475">
        <f t="shared" si="19"/>
        <v>45306.461538461532</v>
      </c>
      <c r="P126" s="475">
        <f t="shared" si="19"/>
        <v>66324.923076923049</v>
      </c>
    </row>
    <row r="127" spans="1:16" s="51" customFormat="1" ht="15" customHeight="1">
      <c r="A127" s="939"/>
      <c r="B127" s="914"/>
      <c r="C127" s="914"/>
      <c r="D127" s="408"/>
      <c r="E127" s="223" t="s">
        <v>197</v>
      </c>
      <c r="F127" s="940"/>
      <c r="G127" s="408"/>
      <c r="H127" s="408"/>
      <c r="I127" s="408"/>
      <c r="J127" s="718"/>
      <c r="K127" s="475">
        <f>K157</f>
        <v>89242.81</v>
      </c>
      <c r="L127" s="475">
        <f t="shared" ref="L127:M127" si="20">L157</f>
        <v>89242.81</v>
      </c>
      <c r="M127" s="475">
        <f t="shared" si="20"/>
        <v>116015.65300000001</v>
      </c>
      <c r="N127" s="731">
        <f>N157</f>
        <v>5741.1538461538457</v>
      </c>
      <c r="O127" s="731">
        <f t="shared" ref="O127:P127" si="21">O157</f>
        <v>5741.1538461538457</v>
      </c>
      <c r="P127" s="731">
        <f t="shared" si="21"/>
        <v>7463.5</v>
      </c>
    </row>
    <row r="128" spans="1:16" s="51" customFormat="1" ht="15" customHeight="1">
      <c r="A128" s="939"/>
      <c r="B128" s="914"/>
      <c r="C128" s="914"/>
      <c r="D128" s="408"/>
      <c r="E128" s="223" t="s">
        <v>311</v>
      </c>
      <c r="F128" s="940">
        <v>2</v>
      </c>
      <c r="G128" s="408"/>
      <c r="H128" s="408"/>
      <c r="I128" s="408"/>
      <c r="J128" s="718"/>
      <c r="K128" s="475">
        <f>SUM(K$140,K141,K142,K148,K158,K162,K163,K166,K167,K170,K171,K172,K173,K175,K179,K180,K181,K183,K185,K186,K192,K193,K145,K146,K189,K190,K191)</f>
        <v>1599548.4779999999</v>
      </c>
      <c r="L128" s="475">
        <f t="shared" ref="L128:P128" si="22">SUM(L$140,L141,L142,L148,L158,L162,L163,L166,L167,L170,L171,L172,L173,L175,L179,L180,L181,L183,L185,L186,L192,L193,L145,L146,L189,L190,L191)</f>
        <v>1583505.1155000001</v>
      </c>
      <c r="M128" s="475">
        <f t="shared" si="22"/>
        <v>2300690.2875000001</v>
      </c>
      <c r="N128" s="475">
        <f t="shared" si="22"/>
        <v>47739.153846153844</v>
      </c>
      <c r="O128" s="475">
        <f t="shared" si="22"/>
        <v>47252.615384615376</v>
      </c>
      <c r="P128" s="475">
        <f t="shared" si="22"/>
        <v>68854.923076923049</v>
      </c>
    </row>
    <row r="129" spans="1:16" s="51" customFormat="1" ht="15" customHeight="1">
      <c r="A129" s="939"/>
      <c r="B129" s="914"/>
      <c r="C129" s="914"/>
      <c r="D129" s="408"/>
      <c r="E129" s="223" t="s">
        <v>197</v>
      </c>
      <c r="F129" s="940"/>
      <c r="G129" s="408"/>
      <c r="H129" s="408"/>
      <c r="I129" s="408"/>
      <c r="J129" s="718"/>
      <c r="K129" s="475">
        <f>K159</f>
        <v>98318.35</v>
      </c>
      <c r="L129" s="475">
        <f t="shared" ref="L129:M129" si="23">L159</f>
        <v>98318.35</v>
      </c>
      <c r="M129" s="475">
        <f t="shared" si="23"/>
        <v>127813.855</v>
      </c>
      <c r="N129" s="731">
        <f>N159</f>
        <v>6325</v>
      </c>
      <c r="O129" s="731">
        <f t="shared" ref="O129:P129" si="24">O159</f>
        <v>6325</v>
      </c>
      <c r="P129" s="731">
        <f t="shared" si="24"/>
        <v>8222.5</v>
      </c>
    </row>
    <row r="130" spans="1:16" s="51" customFormat="1" ht="15" customHeight="1">
      <c r="A130" s="939"/>
      <c r="B130" s="914"/>
      <c r="C130" s="914"/>
      <c r="D130" s="408"/>
      <c r="E130" s="223" t="s">
        <v>311</v>
      </c>
      <c r="F130" s="940">
        <v>3</v>
      </c>
      <c r="G130" s="408"/>
      <c r="H130" s="408"/>
      <c r="I130" s="408"/>
      <c r="J130" s="718"/>
      <c r="K130" s="475">
        <f>SUM(K$140,K141,K142,K148,K160,K162,K163,K166,K167,K170,K171,K172,K173,K175,K179,K180,K181,K183,K185,K186,K192,K193,K145,K146,K189,K190,K191)</f>
        <v>1667363.2304999998</v>
      </c>
      <c r="L130" s="475">
        <f t="shared" ref="L130:P130" si="25">SUM(L$140,L141,L142,L148,L160,L162,L163,L166,L167,L170,L171,L172,L173,L175,L179,L180,L181,L183,L185,L186,L192,L193,L145,L146,L189,L190,L191)</f>
        <v>1651319.868</v>
      </c>
      <c r="M130" s="475">
        <f t="shared" si="25"/>
        <v>2388849.4657500004</v>
      </c>
      <c r="N130" s="475">
        <f t="shared" si="25"/>
        <v>49879.923076923071</v>
      </c>
      <c r="O130" s="475">
        <f t="shared" si="25"/>
        <v>49393.384615384603</v>
      </c>
      <c r="P130" s="475">
        <f t="shared" si="25"/>
        <v>71637.923076923049</v>
      </c>
    </row>
    <row r="131" spans="1:16" s="51" customFormat="1" ht="15" customHeight="1">
      <c r="A131" s="939"/>
      <c r="B131" s="914"/>
      <c r="C131" s="914"/>
      <c r="D131" s="408"/>
      <c r="E131" s="223" t="s">
        <v>197</v>
      </c>
      <c r="F131" s="940"/>
      <c r="G131" s="408"/>
      <c r="H131" s="408"/>
      <c r="I131" s="408"/>
      <c r="J131" s="718"/>
      <c r="K131" s="475">
        <f>K161</f>
        <v>107393.89</v>
      </c>
      <c r="L131" s="475">
        <f t="shared" ref="L131:M131" si="26">L161</f>
        <v>107393.89</v>
      </c>
      <c r="M131" s="475">
        <f t="shared" si="26"/>
        <v>139612.057</v>
      </c>
      <c r="N131" s="731">
        <f>N161</f>
        <v>6908.8461538461534</v>
      </c>
      <c r="O131" s="731">
        <f t="shared" ref="O131:P131" si="27">O161</f>
        <v>6908.8461538461534</v>
      </c>
      <c r="P131" s="731">
        <f t="shared" si="27"/>
        <v>8981.5</v>
      </c>
    </row>
    <row r="132" spans="1:16" s="829" customFormat="1" ht="15" customHeight="1">
      <c r="A132" s="965" t="s">
        <v>531</v>
      </c>
      <c r="B132" s="970" t="s">
        <v>831</v>
      </c>
      <c r="C132" s="970"/>
      <c r="D132" s="826"/>
      <c r="E132" s="827" t="s">
        <v>311</v>
      </c>
      <c r="F132" s="971">
        <v>1</v>
      </c>
      <c r="G132" s="826"/>
      <c r="H132" s="826"/>
      <c r="I132" s="826"/>
      <c r="J132" s="828"/>
      <c r="K132" s="767">
        <f>SUM(K$140,K141,K142,K148,K156,K162,K163,K166,K167,K170,K171,K172,K173,K175,K179,K180,K183,K185,K186,K192,K193,K145,K146,K189,K190,K191)</f>
        <v>1465793.703</v>
      </c>
      <c r="L132" s="767">
        <f t="shared" ref="L132:P132" si="28">SUM(L$140,L141,L142,L148,L156,L162,L163,L166,L167,L170,L171,L172,L173,L175,L179,L180,L183,L185,L186,L192,L193,L145,L146,L189,L190,L191)</f>
        <v>1449750.3405000002</v>
      </c>
      <c r="M132" s="767">
        <f t="shared" si="28"/>
        <v>2148440.58</v>
      </c>
      <c r="N132" s="767">
        <f t="shared" si="28"/>
        <v>43846.846153846149</v>
      </c>
      <c r="O132" s="767">
        <f t="shared" si="28"/>
        <v>43360.307692307688</v>
      </c>
      <c r="P132" s="767">
        <f t="shared" si="28"/>
        <v>64378.76923076922</v>
      </c>
    </row>
    <row r="133" spans="1:16" s="829" customFormat="1" ht="15" customHeight="1">
      <c r="A133" s="965"/>
      <c r="B133" s="970"/>
      <c r="C133" s="970"/>
      <c r="D133" s="826"/>
      <c r="E133" s="827" t="s">
        <v>197</v>
      </c>
      <c r="F133" s="971"/>
      <c r="G133" s="826"/>
      <c r="H133" s="826"/>
      <c r="I133" s="826"/>
      <c r="J133" s="828"/>
      <c r="K133" s="767">
        <f>K127</f>
        <v>89242.81</v>
      </c>
      <c r="L133" s="767">
        <f t="shared" ref="L133:P133" si="29">L127</f>
        <v>89242.81</v>
      </c>
      <c r="M133" s="767">
        <f t="shared" si="29"/>
        <v>116015.65300000001</v>
      </c>
      <c r="N133" s="767">
        <f t="shared" si="29"/>
        <v>5741.1538461538457</v>
      </c>
      <c r="O133" s="767">
        <f t="shared" si="29"/>
        <v>5741.1538461538457</v>
      </c>
      <c r="P133" s="767">
        <f t="shared" si="29"/>
        <v>7463.5</v>
      </c>
    </row>
    <row r="134" spans="1:16" s="829" customFormat="1" ht="15" customHeight="1">
      <c r="A134" s="965"/>
      <c r="B134" s="970"/>
      <c r="C134" s="970"/>
      <c r="D134" s="826"/>
      <c r="E134" s="827" t="s">
        <v>311</v>
      </c>
      <c r="F134" s="971">
        <v>2</v>
      </c>
      <c r="G134" s="826"/>
      <c r="H134" s="826"/>
      <c r="I134" s="826"/>
      <c r="J134" s="828"/>
      <c r="K134" s="767">
        <f>SUM(K$140,K141,K142,K148,K158,K162,K163,K166,K167,K170,K171,K172,K173,K175,K179,K180,K183,K185,K186,K192,K193,K145,K146,K189,K190,K191)</f>
        <v>1527443.4779999999</v>
      </c>
      <c r="L134" s="767">
        <f t="shared" ref="L134:P134" si="30">SUM(L$140,L141,L142,L148,L158,L162,L163,L166,L167,L170,L171,L172,L173,L175,L179,L180,L183,L185,L186,L192,L193,L145,L146,L189,L190,L191)</f>
        <v>1511400.1155000001</v>
      </c>
      <c r="M134" s="767">
        <f t="shared" si="30"/>
        <v>2228585.2875000001</v>
      </c>
      <c r="N134" s="767">
        <f t="shared" si="30"/>
        <v>45793</v>
      </c>
      <c r="O134" s="767">
        <f t="shared" si="30"/>
        <v>45306.461538461532</v>
      </c>
      <c r="P134" s="767">
        <f t="shared" si="30"/>
        <v>66908.76923076919</v>
      </c>
    </row>
    <row r="135" spans="1:16" s="829" customFormat="1" ht="15" customHeight="1">
      <c r="A135" s="965"/>
      <c r="B135" s="970"/>
      <c r="C135" s="970"/>
      <c r="D135" s="826"/>
      <c r="E135" s="827" t="s">
        <v>197</v>
      </c>
      <c r="F135" s="971"/>
      <c r="G135" s="826"/>
      <c r="H135" s="826"/>
      <c r="I135" s="826"/>
      <c r="J135" s="828"/>
      <c r="K135" s="767">
        <f>K129</f>
        <v>98318.35</v>
      </c>
      <c r="L135" s="767">
        <f t="shared" ref="L135:P135" si="31">L129</f>
        <v>98318.35</v>
      </c>
      <c r="M135" s="767">
        <f t="shared" si="31"/>
        <v>127813.855</v>
      </c>
      <c r="N135" s="767">
        <f t="shared" si="31"/>
        <v>6325</v>
      </c>
      <c r="O135" s="767">
        <f t="shared" si="31"/>
        <v>6325</v>
      </c>
      <c r="P135" s="767">
        <f t="shared" si="31"/>
        <v>8222.5</v>
      </c>
    </row>
    <row r="136" spans="1:16" s="829" customFormat="1" ht="15" customHeight="1">
      <c r="A136" s="965"/>
      <c r="B136" s="970"/>
      <c r="C136" s="970"/>
      <c r="D136" s="826"/>
      <c r="E136" s="827" t="s">
        <v>311</v>
      </c>
      <c r="F136" s="971">
        <v>3</v>
      </c>
      <c r="G136" s="826"/>
      <c r="H136" s="826"/>
      <c r="I136" s="826"/>
      <c r="J136" s="828"/>
      <c r="K136" s="767">
        <f>SUM(K$140,K141,K142,K148,K160,K162,K163,K166,K167,K170,K171,K172,K173,K175,K179,K180,K183,K185,K186,K192,K193,K145,K146,K189,K190,K191)</f>
        <v>1595258.2304999998</v>
      </c>
      <c r="L136" s="767">
        <f t="shared" ref="L136:P136" si="32">SUM(L$140,L141,L142,L148,L160,L162,L163,L166,L167,L170,L171,L172,L173,L175,L179,L180,L183,L185,L186,L192,L193,L145,L146,L189,L190,L191)</f>
        <v>1579214.868</v>
      </c>
      <c r="M136" s="767">
        <f t="shared" si="32"/>
        <v>2316744.46575</v>
      </c>
      <c r="N136" s="767">
        <f t="shared" si="32"/>
        <v>47933.769230769227</v>
      </c>
      <c r="O136" s="767">
        <f t="shared" si="32"/>
        <v>47447.230769230759</v>
      </c>
      <c r="P136" s="767">
        <f t="shared" si="32"/>
        <v>69691.769230769205</v>
      </c>
    </row>
    <row r="137" spans="1:16" s="829" customFormat="1" ht="15" customHeight="1">
      <c r="A137" s="965"/>
      <c r="B137" s="970"/>
      <c r="C137" s="970"/>
      <c r="D137" s="826"/>
      <c r="E137" s="827" t="s">
        <v>197</v>
      </c>
      <c r="F137" s="971"/>
      <c r="G137" s="826"/>
      <c r="H137" s="826"/>
      <c r="I137" s="826"/>
      <c r="J137" s="828"/>
      <c r="K137" s="767">
        <f>K131</f>
        <v>107393.89</v>
      </c>
      <c r="L137" s="767">
        <f t="shared" ref="L137:P137" si="33">L131</f>
        <v>107393.89</v>
      </c>
      <c r="M137" s="767">
        <f t="shared" si="33"/>
        <v>139612.057</v>
      </c>
      <c r="N137" s="767">
        <f t="shared" si="33"/>
        <v>6908.8461538461534</v>
      </c>
      <c r="O137" s="767">
        <f t="shared" si="33"/>
        <v>6908.8461538461534</v>
      </c>
      <c r="P137" s="767">
        <f t="shared" si="33"/>
        <v>8981.5</v>
      </c>
    </row>
    <row r="138" spans="1:16" s="50" customFormat="1" ht="20.25" customHeight="1">
      <c r="A138" s="725" t="str">
        <f>L_CViec!A93</f>
        <v>1</v>
      </c>
      <c r="B138" s="281" t="str">
        <f>L_CViec!B93</f>
        <v>Hướng dẫn lập hồ sơ đề nghị đăng ký, cấp GCN</v>
      </c>
      <c r="C138" s="281">
        <f>L_CViec!AD93</f>
        <v>0</v>
      </c>
      <c r="D138" s="281"/>
      <c r="E138" s="281">
        <f>L_CViec!AE93</f>
        <v>0</v>
      </c>
      <c r="F138" s="281">
        <f>L_CViec!AF93</f>
        <v>0</v>
      </c>
      <c r="G138" s="281">
        <f>L_CViec!AG93</f>
        <v>0</v>
      </c>
      <c r="H138" s="280">
        <f>L_CViec!AH93</f>
        <v>0</v>
      </c>
      <c r="I138" s="282"/>
      <c r="J138" s="717">
        <f>L_CViec!AJ93</f>
        <v>0</v>
      </c>
      <c r="K138" s="280"/>
      <c r="L138" s="280"/>
      <c r="M138" s="280"/>
      <c r="N138" s="717"/>
      <c r="O138" s="717"/>
      <c r="P138" s="717"/>
    </row>
    <row r="139" spans="1:16" s="66" customFormat="1" ht="14">
      <c r="A139" s="725" t="str">
        <f>L_CViec!A94</f>
        <v>1.1</v>
      </c>
      <c r="B139" s="281" t="str">
        <f>L_CViec!B94</f>
        <v>Theo hình thức trực tiếp</v>
      </c>
      <c r="C139" s="278" t="str">
        <f>L_CViec!AD94</f>
        <v>Hồ sơ</v>
      </c>
      <c r="D139" s="278">
        <f>L_CViec!AC94</f>
        <v>1</v>
      </c>
      <c r="E139" s="278" t="str">
        <f>L_CViec!AE94</f>
        <v>1KS2</v>
      </c>
      <c r="F139" s="418" t="str">
        <f>L_CViec!AF94</f>
        <v>1-3</v>
      </c>
      <c r="G139" s="278">
        <f>L_CViec!AG94</f>
        <v>0.2</v>
      </c>
      <c r="H139" s="282">
        <f>L_CViec!AH94</f>
        <v>0.2</v>
      </c>
      <c r="I139" s="282">
        <f>L_CViec!AI94</f>
        <v>0.26</v>
      </c>
      <c r="J139" s="717">
        <f>L_CViec!AJ94</f>
        <v>320867.25</v>
      </c>
      <c r="K139" s="280">
        <f t="shared" ref="K139:K193" si="34">G139*$J139</f>
        <v>64173.450000000004</v>
      </c>
      <c r="L139" s="280">
        <f t="shared" ref="L139:L193" si="35">H139*$J139</f>
        <v>64173.450000000004</v>
      </c>
      <c r="M139" s="280">
        <f t="shared" ref="M139:M193" si="36">I139*$J139</f>
        <v>83425.485000000001</v>
      </c>
      <c r="N139" s="717">
        <f>$D139*G139*L_CBac!$J$68</f>
        <v>1946.1538461538462</v>
      </c>
      <c r="O139" s="717">
        <f>$D139*H139*L_CBac!$J$68</f>
        <v>1946.1538461538462</v>
      </c>
      <c r="P139" s="717">
        <f>$D139*I139*L_CBac!$J$68</f>
        <v>2530</v>
      </c>
    </row>
    <row r="140" spans="1:16" s="66" customFormat="1" ht="22.5" customHeight="1">
      <c r="A140" s="725" t="str">
        <f>L_CViec!A95</f>
        <v>1.2</v>
      </c>
      <c r="B140" s="281" t="str">
        <f>L_CViec!B95</f>
        <v>Theo hình thức trực tuyến</v>
      </c>
      <c r="C140" s="278" t="str">
        <f>L_CViec!AD95</f>
        <v>Hồ sơ</v>
      </c>
      <c r="D140" s="278">
        <f>L_CViec!AC95</f>
        <v>1</v>
      </c>
      <c r="E140" s="278" t="str">
        <f>L_CViec!AE95</f>
        <v>1KS2</v>
      </c>
      <c r="F140" s="418" t="str">
        <f>L_CViec!AF95</f>
        <v>1-3</v>
      </c>
      <c r="G140" s="278">
        <f>L_CViec!AG95</f>
        <v>0.15</v>
      </c>
      <c r="H140" s="282">
        <f>L_CViec!AH95</f>
        <v>0.15</v>
      </c>
      <c r="I140" s="282">
        <f>L_CViec!AI95</f>
        <v>0.19</v>
      </c>
      <c r="J140" s="717">
        <f>L_CViec!AJ95</f>
        <v>320867.25</v>
      </c>
      <c r="K140" s="280">
        <f t="shared" si="34"/>
        <v>48130.087500000001</v>
      </c>
      <c r="L140" s="280">
        <f t="shared" si="35"/>
        <v>48130.087500000001</v>
      </c>
      <c r="M140" s="608">
        <f t="shared" si="36"/>
        <v>60964.777500000004</v>
      </c>
      <c r="N140" s="717">
        <f>$D140*G140*L_CBac!$J$68</f>
        <v>1459.6153846153845</v>
      </c>
      <c r="O140" s="717">
        <f>$D140*H140*L_CBac!$J$68</f>
        <v>1459.6153846153845</v>
      </c>
      <c r="P140" s="717">
        <f>$D140*I140*L_CBac!$J$68</f>
        <v>1848.8461538461538</v>
      </c>
    </row>
    <row r="141" spans="1:16" s="50" customFormat="1" ht="39">
      <c r="A141" s="725" t="str">
        <f>L_CViec!A96</f>
        <v>2</v>
      </c>
      <c r="B141" s="281" t="str">
        <f>L_CViec!B96</f>
        <v>Nhận, kiểm tra tính đầy đủ, hợp lệ và viết giấy biên nhận hoặc trả lại hồ sơ, vào sổ theo dõi nhận, trả hồ sơ (theo hình thức trực tiếp, trực tuyến)</v>
      </c>
      <c r="C141" s="278" t="str">
        <f>L_CViec!AD96</f>
        <v>Hồ sơ</v>
      </c>
      <c r="D141" s="278">
        <f>L_CViec!AC96</f>
        <v>1</v>
      </c>
      <c r="E141" s="278" t="str">
        <f>L_CViec!AE96</f>
        <v>1KS2</v>
      </c>
      <c r="F141" s="418" t="str">
        <f>L_CViec!AF96</f>
        <v>1-3</v>
      </c>
      <c r="G141" s="278">
        <f>L_CViec!AG96</f>
        <v>0.1</v>
      </c>
      <c r="H141" s="282">
        <f>L_CViec!AH96</f>
        <v>0.1</v>
      </c>
      <c r="I141" s="282">
        <f>L_CViec!AI96</f>
        <v>1.1299999999999999</v>
      </c>
      <c r="J141" s="717">
        <f>L_CViec!AJ96</f>
        <v>320867.25</v>
      </c>
      <c r="K141" s="280">
        <f t="shared" si="34"/>
        <v>32086.725000000002</v>
      </c>
      <c r="L141" s="280">
        <f t="shared" si="35"/>
        <v>32086.725000000002</v>
      </c>
      <c r="M141" s="608">
        <f t="shared" si="36"/>
        <v>362579.99249999999</v>
      </c>
      <c r="N141" s="717">
        <f>$D141*G141*L_CBac!$J$68</f>
        <v>973.07692307692309</v>
      </c>
      <c r="O141" s="717">
        <f>$D141*H141*L_CBac!$J$68</f>
        <v>973.07692307692309</v>
      </c>
      <c r="P141" s="717">
        <f>$D141*I141*L_CBac!$J$68</f>
        <v>10995.769230769229</v>
      </c>
    </row>
    <row r="142" spans="1:16" s="50" customFormat="1" ht="26">
      <c r="A142" s="725" t="str">
        <f>L_CViec!A97</f>
        <v>3</v>
      </c>
      <c r="B142" s="281" t="str">
        <f>L_CViec!B97</f>
        <v>Tạo tệp (File) dữ liệu hồ sơ số và nhập thông tin do người sử dụng đất kê khai, đăng ký</v>
      </c>
      <c r="C142" s="278" t="str">
        <f>L_CViec!AD97</f>
        <v>Thửa</v>
      </c>
      <c r="D142" s="278">
        <f>L_CViec!AC97</f>
        <v>1</v>
      </c>
      <c r="E142" s="278" t="str">
        <f>L_CViec!AE97</f>
        <v>1KS3</v>
      </c>
      <c r="F142" s="418" t="str">
        <f>L_CViec!AF97</f>
        <v>1-3</v>
      </c>
      <c r="G142" s="278">
        <f>L_CViec!AG97</f>
        <v>0.107</v>
      </c>
      <c r="H142" s="282">
        <f>L_CViec!AH97</f>
        <v>0.107</v>
      </c>
      <c r="I142" s="282">
        <f>L_CViec!AI97</f>
        <v>0.16700000000000001</v>
      </c>
      <c r="J142" s="717">
        <f>L_CViec!AJ97</f>
        <v>360525</v>
      </c>
      <c r="K142" s="280">
        <f t="shared" si="34"/>
        <v>38576.174999999996</v>
      </c>
      <c r="L142" s="280">
        <f t="shared" si="35"/>
        <v>38576.174999999996</v>
      </c>
      <c r="M142" s="608">
        <f t="shared" si="36"/>
        <v>60207.675000000003</v>
      </c>
      <c r="N142" s="717">
        <f>$D142*G142*L_CBac!$J$68</f>
        <v>1041.1923076923076</v>
      </c>
      <c r="O142" s="717">
        <f>$D142*H142*L_CBac!$J$68</f>
        <v>1041.1923076923076</v>
      </c>
      <c r="P142" s="717">
        <f>$D142*I142*L_CBac!$J$68</f>
        <v>1625.0384615384617</v>
      </c>
    </row>
    <row r="143" spans="1:16" s="183" customFormat="1" ht="26">
      <c r="A143" s="725" t="str">
        <f>L_CViec!A98</f>
        <v>4</v>
      </c>
      <c r="B143" s="281" t="str">
        <f>L_CViec!B98</f>
        <v>Quét giấy tờ pháp lý về quyền sử dụng đất, quyền sở hữu nhà ở và tài sản khác gắn liền với đất</v>
      </c>
      <c r="C143" s="278">
        <f>L_CViec!AD98</f>
        <v>0</v>
      </c>
      <c r="D143" s="278">
        <f>L_CViec!AC98</f>
        <v>0</v>
      </c>
      <c r="E143" s="278">
        <f>L_CViec!AE98</f>
        <v>0</v>
      </c>
      <c r="F143" s="418">
        <f>L_CViec!AF98</f>
        <v>0</v>
      </c>
      <c r="G143" s="278">
        <f>L_CViec!AG98</f>
        <v>0</v>
      </c>
      <c r="H143" s="282">
        <f>L_CViec!AH98</f>
        <v>0</v>
      </c>
      <c r="I143" s="282">
        <f>L_CViec!AI98</f>
        <v>0</v>
      </c>
      <c r="J143" s="717">
        <f>L_CViec!AJ98</f>
        <v>0</v>
      </c>
      <c r="K143" s="280">
        <f t="shared" si="34"/>
        <v>0</v>
      </c>
      <c r="L143" s="280">
        <f t="shared" si="35"/>
        <v>0</v>
      </c>
      <c r="M143" s="280">
        <f t="shared" si="36"/>
        <v>0</v>
      </c>
      <c r="N143" s="717">
        <f>$D143*G143*L_CBac!$J$68</f>
        <v>0</v>
      </c>
      <c r="O143" s="717">
        <f>$D143*H143*L_CBac!$J$68</f>
        <v>0</v>
      </c>
      <c r="P143" s="717">
        <f>$D143*I143*L_CBac!$J$68</f>
        <v>0</v>
      </c>
    </row>
    <row r="144" spans="1:16" s="50" customFormat="1" ht="14">
      <c r="A144" s="725" t="str">
        <f>L_CViec!A99</f>
        <v>4.1</v>
      </c>
      <c r="B144" s="281" t="str">
        <f>L_CViec!B99</f>
        <v>Quét trang A3</v>
      </c>
      <c r="C144" s="278" t="str">
        <f>L_CViec!AD99</f>
        <v>Trang</v>
      </c>
      <c r="D144" s="278">
        <f>L_CViec!AC99</f>
        <v>1</v>
      </c>
      <c r="E144" s="278" t="str">
        <f>L_CViec!AE99</f>
        <v>1KS1</v>
      </c>
      <c r="F144" s="418" t="str">
        <f>L_CViec!AF99</f>
        <v>1-3</v>
      </c>
      <c r="G144" s="278">
        <f>L_CViec!AG99</f>
        <v>1.6E-2</v>
      </c>
      <c r="H144" s="282">
        <f>L_CViec!AH99</f>
        <v>1.6E-2</v>
      </c>
      <c r="I144" s="282">
        <f>L_CViec!AI99</f>
        <v>0.02</v>
      </c>
      <c r="J144" s="717">
        <f>L_CViec!AJ99</f>
        <v>281209.5</v>
      </c>
      <c r="K144" s="280">
        <f t="shared" si="34"/>
        <v>4499.3519999999999</v>
      </c>
      <c r="L144" s="280">
        <f t="shared" si="35"/>
        <v>4499.3519999999999</v>
      </c>
      <c r="M144" s="280">
        <f t="shared" si="36"/>
        <v>5624.1900000000005</v>
      </c>
      <c r="N144" s="717">
        <f>$D144*G144*L_CBac!$J$68</f>
        <v>155.69230769230768</v>
      </c>
      <c r="O144" s="717">
        <f>$D144*H144*L_CBac!$J$68</f>
        <v>155.69230769230768</v>
      </c>
      <c r="P144" s="717">
        <f>$D144*I144*L_CBac!$J$68</f>
        <v>194.61538461538461</v>
      </c>
    </row>
    <row r="145" spans="1:16" s="50" customFormat="1" ht="14">
      <c r="A145" s="725" t="str">
        <f>L_CViec!A100</f>
        <v>4.2</v>
      </c>
      <c r="B145" s="281" t="str">
        <f>L_CViec!B100</f>
        <v>Quét trang A4</v>
      </c>
      <c r="C145" s="278" t="str">
        <f>L_CViec!AD100</f>
        <v>Trang</v>
      </c>
      <c r="D145" s="278">
        <f>L_CViec!AC100</f>
        <v>1</v>
      </c>
      <c r="E145" s="278" t="str">
        <f>L_CViec!AE100</f>
        <v>1KS1</v>
      </c>
      <c r="F145" s="418" t="str">
        <f>L_CViec!AF100</f>
        <v>1-3</v>
      </c>
      <c r="G145" s="278">
        <f>L_CViec!AG100</f>
        <v>8.0000000000000002E-3</v>
      </c>
      <c r="H145" s="282">
        <f>L_CViec!AH100</f>
        <v>8.0000000000000002E-3</v>
      </c>
      <c r="I145" s="282">
        <f>L_CViec!AI100</f>
        <v>0.01</v>
      </c>
      <c r="J145" s="717">
        <f>L_CViec!AJ100</f>
        <v>281209.5</v>
      </c>
      <c r="K145" s="280">
        <f t="shared" si="34"/>
        <v>2249.6759999999999</v>
      </c>
      <c r="L145" s="280">
        <f t="shared" si="35"/>
        <v>2249.6759999999999</v>
      </c>
      <c r="M145" s="280">
        <f t="shared" si="36"/>
        <v>2812.0950000000003</v>
      </c>
      <c r="N145" s="717">
        <f>$D145*G145*L_CBac!$J$68</f>
        <v>77.84615384615384</v>
      </c>
      <c r="O145" s="717">
        <f>$D145*H145*L_CBac!$J$68</f>
        <v>77.84615384615384</v>
      </c>
      <c r="P145" s="717">
        <f>$D145*I145*L_CBac!$J$68</f>
        <v>97.307692307692307</v>
      </c>
    </row>
    <row r="146" spans="1:16" s="50" customFormat="1" ht="26">
      <c r="A146" s="725" t="str">
        <f>L_CViec!A101</f>
        <v>5</v>
      </c>
      <c r="B146" s="281" t="str">
        <f>L_CViec!B101</f>
        <v>Xử lý các tệp tin quét thành tệp (File) hồ sơ quét dạng số của thửa đất, lưu trữ dưới khuôn dạng tệp tin PDF</v>
      </c>
      <c r="C146" s="278" t="str">
        <f>L_CViec!AD101</f>
        <v>Trang</v>
      </c>
      <c r="D146" s="278">
        <f>L_CViec!AC101</f>
        <v>1</v>
      </c>
      <c r="E146" s="278" t="str">
        <f>L_CViec!AE101</f>
        <v>1KS1</v>
      </c>
      <c r="F146" s="418" t="str">
        <f>L_CViec!AF101</f>
        <v>1-3</v>
      </c>
      <c r="G146" s="278">
        <f>L_CViec!AG101</f>
        <v>4.0000000000000001E-3</v>
      </c>
      <c r="H146" s="282">
        <f>L_CViec!AH101</f>
        <v>4.0000000000000001E-3</v>
      </c>
      <c r="I146" s="282">
        <f>L_CViec!AI101</f>
        <v>5.0000000000000001E-3</v>
      </c>
      <c r="J146" s="717">
        <f>L_CViec!AJ101</f>
        <v>281209.5</v>
      </c>
      <c r="K146" s="280">
        <f t="shared" si="34"/>
        <v>1124.838</v>
      </c>
      <c r="L146" s="280">
        <f t="shared" si="35"/>
        <v>1124.838</v>
      </c>
      <c r="M146" s="280">
        <f t="shared" si="36"/>
        <v>1406.0475000000001</v>
      </c>
      <c r="N146" s="717">
        <f>$D146*G146*L_CBac!$J$68</f>
        <v>38.92307692307692</v>
      </c>
      <c r="O146" s="717">
        <f>$D146*H146*L_CBac!$J$68</f>
        <v>38.92307692307692</v>
      </c>
      <c r="P146" s="717">
        <f>$D146*I146*L_CBac!$J$68</f>
        <v>48.653846153846153</v>
      </c>
    </row>
    <row r="147" spans="1:16" s="50" customFormat="1" ht="45.75" customHeight="1">
      <c r="A147" s="725" t="str">
        <f>L_CViec!A102</f>
        <v>6</v>
      </c>
      <c r="B147" s="281" t="str">
        <f>L_CViec!B102</f>
        <v>Trích lục thửa đất từ BĐĐC, các loại bản đồ, sơ đồ khác (trường hợp phải trích đo địa chính hoặc chỉnh lý bản đồ thửa đất thì áp dụng định mức theo quy định tại Chương I Phần II)</v>
      </c>
      <c r="C147" s="278">
        <f>L_CViec!AD102</f>
        <v>0</v>
      </c>
      <c r="D147" s="278">
        <f>L_CViec!AC102</f>
        <v>0</v>
      </c>
      <c r="E147" s="278">
        <f>L_CViec!AE102</f>
        <v>0</v>
      </c>
      <c r="F147" s="418">
        <f>L_CViec!AF102</f>
        <v>0</v>
      </c>
      <c r="G147" s="278">
        <f>L_CViec!AG102</f>
        <v>0</v>
      </c>
      <c r="H147" s="282">
        <f>L_CViec!AH102</f>
        <v>0</v>
      </c>
      <c r="I147" s="282">
        <f>L_CViec!AI102</f>
        <v>0</v>
      </c>
      <c r="J147" s="717">
        <f>L_CViec!AJ102</f>
        <v>0</v>
      </c>
      <c r="K147" s="280">
        <f t="shared" si="34"/>
        <v>0</v>
      </c>
      <c r="L147" s="280">
        <f t="shared" si="35"/>
        <v>0</v>
      </c>
      <c r="M147" s="280">
        <f t="shared" si="36"/>
        <v>0</v>
      </c>
      <c r="N147" s="717">
        <f>$D147*G147*L_CBac!$J$68</f>
        <v>0</v>
      </c>
      <c r="O147" s="717">
        <f>$D147*H147*L_CBac!$J$68</f>
        <v>0</v>
      </c>
      <c r="P147" s="717">
        <f>$D147*I147*L_CBac!$J$68</f>
        <v>0</v>
      </c>
    </row>
    <row r="148" spans="1:16" s="50" customFormat="1" ht="14">
      <c r="A148" s="725" t="str">
        <f>L_CViec!A103</f>
        <v>6.1</v>
      </c>
      <c r="B148" s="281" t="str">
        <f>L_CViec!B103</f>
        <v>Trích lục trên bản đồ dạng số</v>
      </c>
      <c r="C148" s="278" t="str">
        <f>L_CViec!AD103</f>
        <v>Thửa</v>
      </c>
      <c r="D148" s="278">
        <f>L_CViec!AC103</f>
        <v>1</v>
      </c>
      <c r="E148" s="278" t="str">
        <f>L_CViec!AE103</f>
        <v>1KS2</v>
      </c>
      <c r="F148" s="418" t="str">
        <f>L_CViec!AF103</f>
        <v>1-3</v>
      </c>
      <c r="G148" s="278">
        <f>L_CViec!AG103</f>
        <v>0.05</v>
      </c>
      <c r="H148" s="282">
        <f>L_CViec!AH103</f>
        <v>0</v>
      </c>
      <c r="I148" s="282">
        <f>L_CViec!AI103</f>
        <v>0.05</v>
      </c>
      <c r="J148" s="717">
        <f>L_CViec!AJ103</f>
        <v>320867.25</v>
      </c>
      <c r="K148" s="280">
        <f t="shared" si="34"/>
        <v>16043.362500000001</v>
      </c>
      <c r="L148" s="280">
        <f t="shared" si="35"/>
        <v>0</v>
      </c>
      <c r="M148" s="608">
        <f t="shared" si="36"/>
        <v>16043.362500000001</v>
      </c>
      <c r="N148" s="717">
        <f>$D148*G148*L_CBac!$J$68</f>
        <v>486.53846153846155</v>
      </c>
      <c r="O148" s="717">
        <f>$D148*H148*L_CBac!$J$68</f>
        <v>0</v>
      </c>
      <c r="P148" s="717">
        <f>$D148*I148*L_CBac!$J$68</f>
        <v>486.53846153846155</v>
      </c>
    </row>
    <row r="149" spans="1:16" s="50" customFormat="1" ht="14">
      <c r="A149" s="725" t="str">
        <f>L_CViec!A104</f>
        <v>6.2</v>
      </c>
      <c r="B149" s="281" t="str">
        <f>L_CViec!B104</f>
        <v>Trích lục trên bản đồ dạng giấy</v>
      </c>
      <c r="C149" s="278" t="str">
        <f>L_CViec!AD104</f>
        <v>Thửa</v>
      </c>
      <c r="D149" s="278">
        <f>L_CViec!AC104</f>
        <v>1</v>
      </c>
      <c r="E149" s="278" t="str">
        <f>L_CViec!AE104</f>
        <v>1KS2</v>
      </c>
      <c r="F149" s="418" t="str">
        <f>L_CViec!AF104</f>
        <v>1-3</v>
      </c>
      <c r="G149" s="278">
        <f>L_CViec!AG104</f>
        <v>0.1</v>
      </c>
      <c r="H149" s="282">
        <f>L_CViec!AH104</f>
        <v>0</v>
      </c>
      <c r="I149" s="282">
        <f>L_CViec!AI104</f>
        <v>0.1</v>
      </c>
      <c r="J149" s="717">
        <f>L_CViec!AJ104</f>
        <v>320867.25</v>
      </c>
      <c r="K149" s="280">
        <f t="shared" si="34"/>
        <v>32086.725000000002</v>
      </c>
      <c r="L149" s="280">
        <f t="shared" si="35"/>
        <v>0</v>
      </c>
      <c r="M149" s="280">
        <f t="shared" si="36"/>
        <v>32086.725000000002</v>
      </c>
      <c r="N149" s="717">
        <f>$D149*G149*L_CBac!$J$68</f>
        <v>973.07692307692309</v>
      </c>
      <c r="O149" s="717">
        <f>$D149*H149*L_CBac!$J$68</f>
        <v>0</v>
      </c>
      <c r="P149" s="717">
        <f>$D149*I149*L_CBac!$J$68</f>
        <v>973.07692307692309</v>
      </c>
    </row>
    <row r="150" spans="1:16" s="183" customFormat="1" ht="14">
      <c r="A150" s="956" t="str">
        <f>L_CViec!A105</f>
        <v>7</v>
      </c>
      <c r="B150" s="889" t="str">
        <f>L_CViec!B105</f>
        <v>Xác nhận hiện trạng sử dụng đất có hay không có nhà ở, công trình xây dựng; tình trạng tranh chấp đất đai, tài sản gắn liền với đất; xác định đất sử dụng ổn định; xác định nguồn gốc sử dụng đất; xác nhận sự phù hợp với quy hoạch</v>
      </c>
      <c r="C150" s="278" t="str">
        <f>L_CViec!AD105</f>
        <v>Hồ sơ</v>
      </c>
      <c r="D150" s="278">
        <f>L_CViec!AC105</f>
        <v>2</v>
      </c>
      <c r="E150" s="278" t="str">
        <f>L_CViec!AE105</f>
        <v>1KS2,1KTV4</v>
      </c>
      <c r="F150" s="418">
        <f>L_CViec!AF105</f>
        <v>1</v>
      </c>
      <c r="G150" s="278">
        <f>L_CViec!AG105</f>
        <v>0.9</v>
      </c>
      <c r="H150" s="282">
        <f>L_CViec!AH105</f>
        <v>0.9</v>
      </c>
      <c r="I150" s="282">
        <f>L_CViec!AI105</f>
        <v>1.17</v>
      </c>
      <c r="J150" s="717">
        <f>L_CViec!AJ105</f>
        <v>616497.75</v>
      </c>
      <c r="K150" s="280">
        <f t="shared" si="34"/>
        <v>554847.97499999998</v>
      </c>
      <c r="L150" s="280">
        <f t="shared" si="35"/>
        <v>554847.97499999998</v>
      </c>
      <c r="M150" s="608">
        <f t="shared" si="36"/>
        <v>721302.36749999993</v>
      </c>
      <c r="N150" s="717">
        <f>$D150*G150*L_CBac!$J$68</f>
        <v>17515.384615384617</v>
      </c>
      <c r="O150" s="717">
        <f>$D150*H150*L_CBac!$J$68</f>
        <v>17515.384615384617</v>
      </c>
      <c r="P150" s="717">
        <f>$D150*I150*L_CBac!$J$68</f>
        <v>22769.999999999996</v>
      </c>
    </row>
    <row r="151" spans="1:16" s="50" customFormat="1" ht="14">
      <c r="A151" s="957"/>
      <c r="B151" s="889"/>
      <c r="C151" s="278">
        <f>L_CViec!AD106</f>
        <v>0</v>
      </c>
      <c r="D151" s="278">
        <f>L_CViec!AC106</f>
        <v>1</v>
      </c>
      <c r="E151" s="278" t="str">
        <f>L_CViec!AE106</f>
        <v>LĐPT</v>
      </c>
      <c r="F151" s="418">
        <f>L_CViec!AF106</f>
        <v>0</v>
      </c>
      <c r="G151" s="278">
        <f>L_CViec!AG106</f>
        <v>0.7</v>
      </c>
      <c r="H151" s="282">
        <f>L_CViec!AH106</f>
        <v>0.7</v>
      </c>
      <c r="I151" s="282">
        <f>L_CViec!AI106</f>
        <v>0.91</v>
      </c>
      <c r="J151" s="717">
        <f>L_CViec!AJ106</f>
        <v>151259</v>
      </c>
      <c r="K151" s="280">
        <f t="shared" si="34"/>
        <v>105881.29999999999</v>
      </c>
      <c r="L151" s="280">
        <f t="shared" si="35"/>
        <v>105881.29999999999</v>
      </c>
      <c r="M151" s="280">
        <f t="shared" si="36"/>
        <v>137645.69</v>
      </c>
      <c r="N151" s="717">
        <f>$D151*G151*L_CBac!$J$68</f>
        <v>6811.538461538461</v>
      </c>
      <c r="O151" s="717">
        <f>$D151*H151*L_CBac!$J$68</f>
        <v>6811.538461538461</v>
      </c>
      <c r="P151" s="717">
        <f>$D151*I151*L_CBac!$J$68</f>
        <v>8855</v>
      </c>
    </row>
    <row r="152" spans="1:16" s="66" customFormat="1" ht="14">
      <c r="A152" s="957"/>
      <c r="B152" s="889"/>
      <c r="C152" s="278">
        <f>L_CViec!AD107</f>
        <v>0</v>
      </c>
      <c r="D152" s="278">
        <f>L_CViec!AC107</f>
        <v>2</v>
      </c>
      <c r="E152" s="278" t="str">
        <f>L_CViec!AE107</f>
        <v>1KS2,1KTV4</v>
      </c>
      <c r="F152" s="418">
        <f>L_CViec!AF107</f>
        <v>2</v>
      </c>
      <c r="G152" s="278">
        <f>L_CViec!AG107</f>
        <v>0.99</v>
      </c>
      <c r="H152" s="282">
        <f>L_CViec!AH107</f>
        <v>0.99</v>
      </c>
      <c r="I152" s="282">
        <f>L_CViec!AI107</f>
        <v>1.2869999999999999</v>
      </c>
      <c r="J152" s="717">
        <f>L_CViec!AJ107</f>
        <v>616497.75</v>
      </c>
      <c r="K152" s="280">
        <f t="shared" si="34"/>
        <v>610332.77249999996</v>
      </c>
      <c r="L152" s="280">
        <f t="shared" si="35"/>
        <v>610332.77249999996</v>
      </c>
      <c r="M152" s="624">
        <f t="shared" si="36"/>
        <v>793432.60424999997</v>
      </c>
      <c r="N152" s="717">
        <f>$D152*G152*L_CBac!$J$68</f>
        <v>19266.923076923074</v>
      </c>
      <c r="O152" s="717">
        <f>$D152*H152*L_CBac!$J$68</f>
        <v>19266.923076923074</v>
      </c>
      <c r="P152" s="717">
        <f>$D152*I152*L_CBac!$J$68</f>
        <v>25046.999999999996</v>
      </c>
    </row>
    <row r="153" spans="1:16" s="66" customFormat="1" ht="14">
      <c r="A153" s="957"/>
      <c r="B153" s="889"/>
      <c r="C153" s="278">
        <f>L_CViec!AD108</f>
        <v>0</v>
      </c>
      <c r="D153" s="278">
        <f>L_CViec!AC108</f>
        <v>1</v>
      </c>
      <c r="E153" s="278" t="str">
        <f>L_CViec!AE108</f>
        <v>LĐPT</v>
      </c>
      <c r="F153" s="418">
        <f>L_CViec!AF108</f>
        <v>0</v>
      </c>
      <c r="G153" s="278">
        <f>L_CViec!AG108</f>
        <v>0.77</v>
      </c>
      <c r="H153" s="282">
        <f>L_CViec!AH108</f>
        <v>0.77</v>
      </c>
      <c r="I153" s="282">
        <f>L_CViec!AI108</f>
        <v>1.0009999999999999</v>
      </c>
      <c r="J153" s="717">
        <f>L_CViec!AJ108</f>
        <v>151259</v>
      </c>
      <c r="K153" s="280">
        <f t="shared" si="34"/>
        <v>116469.43000000001</v>
      </c>
      <c r="L153" s="280">
        <f t="shared" si="35"/>
        <v>116469.43000000001</v>
      </c>
      <c r="M153" s="280">
        <f t="shared" si="36"/>
        <v>151410.25899999999</v>
      </c>
      <c r="N153" s="717">
        <f>$D153*G153*L_CBac!$J$68</f>
        <v>7492.6923076923076</v>
      </c>
      <c r="O153" s="717">
        <f>$D153*H153*L_CBac!$J$68</f>
        <v>7492.6923076923076</v>
      </c>
      <c r="P153" s="717">
        <f>$D153*I153*L_CBac!$J$68</f>
        <v>9740.4999999999982</v>
      </c>
    </row>
    <row r="154" spans="1:16" s="50" customFormat="1" ht="14">
      <c r="A154" s="957"/>
      <c r="B154" s="889"/>
      <c r="C154" s="278">
        <f>L_CViec!AD109</f>
        <v>0</v>
      </c>
      <c r="D154" s="278">
        <f>L_CViec!AC109</f>
        <v>2</v>
      </c>
      <c r="E154" s="278" t="str">
        <f>L_CViec!AE109</f>
        <v>1KS2,1KTV4</v>
      </c>
      <c r="F154" s="418">
        <f>L_CViec!AF109</f>
        <v>3</v>
      </c>
      <c r="G154" s="278">
        <f>L_CViec!AG109</f>
        <v>1.089</v>
      </c>
      <c r="H154" s="282">
        <f>L_CViec!AH109</f>
        <v>1.089</v>
      </c>
      <c r="I154" s="282">
        <f>L_CViec!AI109</f>
        <v>1.4159999999999999</v>
      </c>
      <c r="J154" s="717">
        <f>L_CViec!AJ109</f>
        <v>616497.75</v>
      </c>
      <c r="K154" s="280">
        <f t="shared" si="34"/>
        <v>671366.04975000001</v>
      </c>
      <c r="L154" s="280">
        <f t="shared" si="35"/>
        <v>671366.04975000001</v>
      </c>
      <c r="M154" s="625">
        <f t="shared" si="36"/>
        <v>872960.8139999999</v>
      </c>
      <c r="N154" s="717">
        <f>$D154*G154*L_CBac!$J$68</f>
        <v>21193.615384615383</v>
      </c>
      <c r="O154" s="717">
        <f>$D154*H154*L_CBac!$J$68</f>
        <v>21193.615384615383</v>
      </c>
      <c r="P154" s="717">
        <f>$D154*I154*L_CBac!$J$68</f>
        <v>27557.538461538461</v>
      </c>
    </row>
    <row r="155" spans="1:16" s="50" customFormat="1" ht="14">
      <c r="A155" s="958"/>
      <c r="B155" s="889"/>
      <c r="C155" s="278">
        <f>L_CViec!AD110</f>
        <v>0</v>
      </c>
      <c r="D155" s="278">
        <f>L_CViec!AC110</f>
        <v>1</v>
      </c>
      <c r="E155" s="278" t="str">
        <f>L_CViec!AE110</f>
        <v>LĐPT</v>
      </c>
      <c r="F155" s="418">
        <f>L_CViec!AF110</f>
        <v>0</v>
      </c>
      <c r="G155" s="278">
        <f>L_CViec!AG110</f>
        <v>0.84699999999999998</v>
      </c>
      <c r="H155" s="282">
        <f>L_CViec!AH110</f>
        <v>0.84699999999999998</v>
      </c>
      <c r="I155" s="282">
        <f>L_CViec!AI110</f>
        <v>1.101</v>
      </c>
      <c r="J155" s="717">
        <f>L_CViec!AJ110</f>
        <v>151259</v>
      </c>
      <c r="K155" s="280">
        <f t="shared" si="34"/>
        <v>128116.37299999999</v>
      </c>
      <c r="L155" s="280">
        <f t="shared" si="35"/>
        <v>128116.37299999999</v>
      </c>
      <c r="M155" s="280">
        <f t="shared" si="36"/>
        <v>166536.15899999999</v>
      </c>
      <c r="N155" s="717">
        <f>$D155*G155*L_CBac!$J$68</f>
        <v>8241.9615384615372</v>
      </c>
      <c r="O155" s="717">
        <f>$D155*H155*L_CBac!$J$68</f>
        <v>8241.9615384615372</v>
      </c>
      <c r="P155" s="717">
        <f>$D155*I155*L_CBac!$J$68</f>
        <v>10713.576923076922</v>
      </c>
    </row>
    <row r="156" spans="1:16" s="50" customFormat="1" ht="14">
      <c r="A156" s="956" t="str">
        <f>L_CViec!A111</f>
        <v>8</v>
      </c>
      <c r="B156" s="969" t="str">
        <f>L_CViec!B111</f>
        <v xml:space="preserve">Kiểm tra thực tế sử dụng đất của tổ chức, xác định ranh giới cụ thể của thửa đất đối với tổ chức </v>
      </c>
      <c r="C156" s="278" t="str">
        <f>L_CViec!AD111</f>
        <v>Hồ sơ</v>
      </c>
      <c r="D156" s="278">
        <f>L_CViec!AC111</f>
        <v>2</v>
      </c>
      <c r="E156" s="278" t="str">
        <f>L_CViec!AE111</f>
        <v>1KS2,1KTV4</v>
      </c>
      <c r="F156" s="418">
        <f>L_CViec!AF111</f>
        <v>1</v>
      </c>
      <c r="G156" s="278">
        <f>L_CViec!AG111</f>
        <v>1</v>
      </c>
      <c r="H156" s="282">
        <f>L_CViec!AH111</f>
        <v>1</v>
      </c>
      <c r="I156" s="282">
        <f>L_CViec!AI111</f>
        <v>1.3</v>
      </c>
      <c r="J156" s="717">
        <f>L_CViec!AJ111</f>
        <v>616497.75</v>
      </c>
      <c r="K156" s="280">
        <f t="shared" si="34"/>
        <v>616497.75</v>
      </c>
      <c r="L156" s="280">
        <f t="shared" si="35"/>
        <v>616497.75</v>
      </c>
      <c r="M156" s="280">
        <f t="shared" si="36"/>
        <v>801447.07500000007</v>
      </c>
      <c r="N156" s="717">
        <f>$D156*G156*L_CBac!$J$68</f>
        <v>19461.538461538461</v>
      </c>
      <c r="O156" s="717">
        <f>$D156*H156*L_CBac!$J$68</f>
        <v>19461.538461538461</v>
      </c>
      <c r="P156" s="717">
        <f>$D156*I156*L_CBac!$J$68</f>
        <v>25300</v>
      </c>
    </row>
    <row r="157" spans="1:16" s="66" customFormat="1" ht="14">
      <c r="A157" s="957"/>
      <c r="B157" s="969"/>
      <c r="C157" s="278">
        <f>L_CViec!AD112</f>
        <v>0</v>
      </c>
      <c r="D157" s="278">
        <f>L_CViec!AC112</f>
        <v>1</v>
      </c>
      <c r="E157" s="278" t="str">
        <f>L_CViec!AE112</f>
        <v>LĐPT</v>
      </c>
      <c r="F157" s="418">
        <f>L_CViec!AF112</f>
        <v>0</v>
      </c>
      <c r="G157" s="278">
        <f>L_CViec!AG112</f>
        <v>0.59</v>
      </c>
      <c r="H157" s="282">
        <f>L_CViec!AH112</f>
        <v>0.59</v>
      </c>
      <c r="I157" s="282">
        <f>L_CViec!AI112</f>
        <v>0.76700000000000002</v>
      </c>
      <c r="J157" s="717">
        <f>L_CViec!AJ112</f>
        <v>151259</v>
      </c>
      <c r="K157" s="280">
        <f t="shared" si="34"/>
        <v>89242.81</v>
      </c>
      <c r="L157" s="280">
        <f t="shared" si="35"/>
        <v>89242.81</v>
      </c>
      <c r="M157" s="280">
        <f t="shared" si="36"/>
        <v>116015.65300000001</v>
      </c>
      <c r="N157" s="717">
        <f>$D157*G157*L_CBac!$J$68</f>
        <v>5741.1538461538457</v>
      </c>
      <c r="O157" s="717">
        <f>$D157*H157*L_CBac!$J$68</f>
        <v>5741.1538461538457</v>
      </c>
      <c r="P157" s="717">
        <f>$D157*I157*L_CBac!$J$68</f>
        <v>7463.5</v>
      </c>
    </row>
    <row r="158" spans="1:16" s="66" customFormat="1" ht="14">
      <c r="A158" s="957"/>
      <c r="B158" s="969"/>
      <c r="C158" s="278">
        <f>L_CViec!AD113</f>
        <v>0</v>
      </c>
      <c r="D158" s="278">
        <f>L_CViec!AC113</f>
        <v>2</v>
      </c>
      <c r="E158" s="278" t="str">
        <f>L_CViec!AE113</f>
        <v>1KS2,1KTV4</v>
      </c>
      <c r="F158" s="418">
        <f>L_CViec!AF113</f>
        <v>2</v>
      </c>
      <c r="G158" s="278">
        <f>L_CViec!AG113</f>
        <v>1.1000000000000001</v>
      </c>
      <c r="H158" s="282">
        <f>L_CViec!AH113</f>
        <v>1.1000000000000001</v>
      </c>
      <c r="I158" s="282">
        <f>L_CViec!AI113</f>
        <v>1.43</v>
      </c>
      <c r="J158" s="717">
        <f>L_CViec!AJ113</f>
        <v>616497.75</v>
      </c>
      <c r="K158" s="280">
        <f t="shared" si="34"/>
        <v>678147.52500000002</v>
      </c>
      <c r="L158" s="280">
        <f t="shared" si="35"/>
        <v>678147.52500000002</v>
      </c>
      <c r="M158" s="280">
        <f t="shared" si="36"/>
        <v>881591.78249999997</v>
      </c>
      <c r="N158" s="717">
        <f>$D158*G158*L_CBac!$J$68</f>
        <v>21407.692307692309</v>
      </c>
      <c r="O158" s="717">
        <f>$D158*H158*L_CBac!$J$68</f>
        <v>21407.692307692309</v>
      </c>
      <c r="P158" s="717">
        <f>$D158*I158*L_CBac!$J$68</f>
        <v>27829.999999999996</v>
      </c>
    </row>
    <row r="159" spans="1:16" s="50" customFormat="1" ht="14">
      <c r="A159" s="957"/>
      <c r="B159" s="969"/>
      <c r="C159" s="278">
        <f>L_CViec!AD114</f>
        <v>0</v>
      </c>
      <c r="D159" s="278">
        <f>L_CViec!AC114</f>
        <v>1</v>
      </c>
      <c r="E159" s="278" t="str">
        <f>L_CViec!AE114</f>
        <v>LĐPT</v>
      </c>
      <c r="F159" s="418">
        <f>L_CViec!AF114</f>
        <v>0</v>
      </c>
      <c r="G159" s="278">
        <f>L_CViec!AG114</f>
        <v>0.65</v>
      </c>
      <c r="H159" s="282">
        <f>L_CViec!AH114</f>
        <v>0.65</v>
      </c>
      <c r="I159" s="282">
        <f>L_CViec!AI114</f>
        <v>0.84499999999999997</v>
      </c>
      <c r="J159" s="717">
        <f>L_CViec!AJ114</f>
        <v>151259</v>
      </c>
      <c r="K159" s="280">
        <f t="shared" si="34"/>
        <v>98318.35</v>
      </c>
      <c r="L159" s="280">
        <f t="shared" si="35"/>
        <v>98318.35</v>
      </c>
      <c r="M159" s="280">
        <f t="shared" si="36"/>
        <v>127813.855</v>
      </c>
      <c r="N159" s="717">
        <f>$D159*G159*L_CBac!$J$68</f>
        <v>6325</v>
      </c>
      <c r="O159" s="717">
        <f>$D159*H159*L_CBac!$J$68</f>
        <v>6325</v>
      </c>
      <c r="P159" s="717">
        <f>$D159*I159*L_CBac!$J$68</f>
        <v>8222.5</v>
      </c>
    </row>
    <row r="160" spans="1:16" s="50" customFormat="1" ht="14">
      <c r="A160" s="957"/>
      <c r="B160" s="969"/>
      <c r="C160" s="278">
        <f>L_CViec!AD115</f>
        <v>0</v>
      </c>
      <c r="D160" s="278">
        <f>L_CViec!AC115</f>
        <v>2</v>
      </c>
      <c r="E160" s="278" t="str">
        <f>L_CViec!AE115</f>
        <v>1KS2,1KTV4</v>
      </c>
      <c r="F160" s="418">
        <f>L_CViec!AF115</f>
        <v>3</v>
      </c>
      <c r="G160" s="278">
        <f>L_CViec!AG115</f>
        <v>1.21</v>
      </c>
      <c r="H160" s="282">
        <f>L_CViec!AH115</f>
        <v>1.21</v>
      </c>
      <c r="I160" s="282">
        <f>L_CViec!AI115</f>
        <v>1.573</v>
      </c>
      <c r="J160" s="717">
        <f>L_CViec!AJ115</f>
        <v>616497.75</v>
      </c>
      <c r="K160" s="280">
        <f t="shared" si="34"/>
        <v>745962.27749999997</v>
      </c>
      <c r="L160" s="280">
        <f t="shared" si="35"/>
        <v>745962.27749999997</v>
      </c>
      <c r="M160" s="280">
        <f t="shared" si="36"/>
        <v>969750.96074999997</v>
      </c>
      <c r="N160" s="717">
        <f>$D160*G160*L_CBac!$J$68</f>
        <v>23548.461538461535</v>
      </c>
      <c r="O160" s="717">
        <f>$D160*H160*L_CBac!$J$68</f>
        <v>23548.461538461535</v>
      </c>
      <c r="P160" s="717">
        <f>$D160*I160*L_CBac!$J$68</f>
        <v>30613</v>
      </c>
    </row>
    <row r="161" spans="1:16" s="231" customFormat="1" ht="14">
      <c r="A161" s="958"/>
      <c r="B161" s="969"/>
      <c r="C161" s="278">
        <f>L_CViec!AD116</f>
        <v>0</v>
      </c>
      <c r="D161" s="278">
        <f>L_CViec!AC116</f>
        <v>1</v>
      </c>
      <c r="E161" s="278" t="str">
        <f>L_CViec!AE116</f>
        <v>LĐPT</v>
      </c>
      <c r="F161" s="418">
        <f>L_CViec!AF116</f>
        <v>0</v>
      </c>
      <c r="G161" s="278">
        <f>L_CViec!AG116</f>
        <v>0.71</v>
      </c>
      <c r="H161" s="282">
        <f>L_CViec!AH116</f>
        <v>0.71</v>
      </c>
      <c r="I161" s="282">
        <f>L_CViec!AI116</f>
        <v>0.92300000000000004</v>
      </c>
      <c r="J161" s="717">
        <f>L_CViec!AJ116</f>
        <v>151259</v>
      </c>
      <c r="K161" s="280">
        <f t="shared" si="34"/>
        <v>107393.89</v>
      </c>
      <c r="L161" s="280">
        <f t="shared" si="35"/>
        <v>107393.89</v>
      </c>
      <c r="M161" s="280">
        <f t="shared" si="36"/>
        <v>139612.057</v>
      </c>
      <c r="N161" s="717">
        <f>$D161*G161*L_CBac!$J$68</f>
        <v>6908.8461538461534</v>
      </c>
      <c r="O161" s="717">
        <f>$D161*H161*L_CBac!$J$68</f>
        <v>6908.8461538461534</v>
      </c>
      <c r="P161" s="717">
        <f>$D161*I161*L_CBac!$J$68</f>
        <v>8981.5</v>
      </c>
    </row>
    <row r="162" spans="1:16" s="50" customFormat="1" ht="26">
      <c r="A162" s="725">
        <f>L_CViec!A117</f>
        <v>9</v>
      </c>
      <c r="B162" s="281" t="str">
        <f>L_CViec!B117</f>
        <v>Lập biên bản kiểm tra việc sử dụng đất, ranh giới sử dụng đất của tổ chức</v>
      </c>
      <c r="C162" s="278" t="str">
        <f>L_CViec!AD117</f>
        <v>Hồ sơ</v>
      </c>
      <c r="D162" s="278">
        <f>L_CViec!AC117</f>
        <v>1</v>
      </c>
      <c r="E162" s="278" t="str">
        <f>L_CViec!AE117</f>
        <v>1KS3</v>
      </c>
      <c r="F162" s="418" t="str">
        <f>L_CViec!AF117</f>
        <v>1-3</v>
      </c>
      <c r="G162" s="278">
        <f>L_CViec!AG117</f>
        <v>0.05</v>
      </c>
      <c r="H162" s="282">
        <f>L_CViec!AH117</f>
        <v>0.05</v>
      </c>
      <c r="I162" s="282">
        <f>L_CViec!AI117</f>
        <v>0.05</v>
      </c>
      <c r="J162" s="717">
        <f>L_CViec!AJ117</f>
        <v>320867.25</v>
      </c>
      <c r="K162" s="280">
        <f t="shared" si="34"/>
        <v>16043.362500000001</v>
      </c>
      <c r="L162" s="280">
        <f t="shared" si="35"/>
        <v>16043.362500000001</v>
      </c>
      <c r="M162" s="608">
        <f t="shared" si="36"/>
        <v>16043.362500000001</v>
      </c>
      <c r="N162" s="717">
        <f>$D162*G162*L_CBac!$J$68</f>
        <v>486.53846153846155</v>
      </c>
      <c r="O162" s="717">
        <f>$D162*H162*L_CBac!$J$68</f>
        <v>486.53846153846155</v>
      </c>
      <c r="P162" s="717">
        <f>$D162*I162*L_CBac!$J$68</f>
        <v>486.53846153846155</v>
      </c>
    </row>
    <row r="163" spans="1:16" s="183" customFormat="1" ht="26">
      <c r="A163" s="725">
        <f>L_CViec!A118</f>
        <v>10</v>
      </c>
      <c r="B163" s="281" t="str">
        <f>L_CViec!B118</f>
        <v>Niêm yết công khai các nội dung xác nhận tại trụ sở Ủy ban nhân dân cấp xã,phường,, khu dân cư nơi có đất</v>
      </c>
      <c r="C163" s="278" t="str">
        <f>L_CViec!AD118</f>
        <v>Hồ sơ</v>
      </c>
      <c r="D163" s="278">
        <f>L_CViec!AC118</f>
        <v>1</v>
      </c>
      <c r="E163" s="278" t="str">
        <f>L_CViec!AE118</f>
        <v>1KTV4</v>
      </c>
      <c r="F163" s="418" t="str">
        <f>L_CViec!AF118</f>
        <v>1-3</v>
      </c>
      <c r="G163" s="278">
        <f>L_CViec!AG118</f>
        <v>0.06</v>
      </c>
      <c r="H163" s="282">
        <f>L_CViec!AH118</f>
        <v>0.06</v>
      </c>
      <c r="I163" s="282">
        <f>L_CViec!AI118</f>
        <v>7.8E-2</v>
      </c>
      <c r="J163" s="717">
        <f>L_CViec!AJ118</f>
        <v>295630.50000000006</v>
      </c>
      <c r="K163" s="280">
        <f t="shared" si="34"/>
        <v>17737.830000000002</v>
      </c>
      <c r="L163" s="280">
        <f t="shared" si="35"/>
        <v>17737.830000000002</v>
      </c>
      <c r="M163" s="608">
        <f t="shared" si="36"/>
        <v>23059.179000000004</v>
      </c>
      <c r="N163" s="717">
        <f>$D163*G163*L_CBac!$J$68</f>
        <v>583.84615384615381</v>
      </c>
      <c r="O163" s="717">
        <f>$D163*H163*L_CBac!$J$68</f>
        <v>583.84615384615381</v>
      </c>
      <c r="P163" s="717">
        <f>$D163*I163*L_CBac!$J$68</f>
        <v>759</v>
      </c>
    </row>
    <row r="164" spans="1:16" s="183" customFormat="1" ht="26">
      <c r="A164" s="725">
        <f>L_CViec!A119</f>
        <v>11</v>
      </c>
      <c r="B164" s="281" t="str">
        <f>L_CViec!B119</f>
        <v>Nhận các ý kiến phản ánh; Xem xét giải quyết các ý kiến phản ánh về nội dung đã công khai</v>
      </c>
      <c r="C164" s="278">
        <f>L_CViec!AD119</f>
        <v>0</v>
      </c>
      <c r="D164" s="278">
        <f>L_CViec!AC119</f>
        <v>0</v>
      </c>
      <c r="E164" s="278">
        <f>L_CViec!AE119</f>
        <v>0</v>
      </c>
      <c r="F164" s="418">
        <f>L_CViec!AF119</f>
        <v>0</v>
      </c>
      <c r="G164" s="278">
        <f>L_CViec!AG119</f>
        <v>0</v>
      </c>
      <c r="H164" s="282">
        <f>L_CViec!AH119</f>
        <v>0</v>
      </c>
      <c r="I164" s="282">
        <f>L_CViec!AI119</f>
        <v>0</v>
      </c>
      <c r="J164" s="717">
        <f>L_CViec!AJ119</f>
        <v>0</v>
      </c>
      <c r="K164" s="280">
        <f t="shared" si="34"/>
        <v>0</v>
      </c>
      <c r="L164" s="280">
        <f t="shared" si="35"/>
        <v>0</v>
      </c>
      <c r="M164" s="280">
        <f t="shared" si="36"/>
        <v>0</v>
      </c>
      <c r="N164" s="717">
        <f>$D164*G164*L_CBac!$J$68</f>
        <v>0</v>
      </c>
      <c r="O164" s="717">
        <f>$D164*H164*L_CBac!$J$68</f>
        <v>0</v>
      </c>
      <c r="P164" s="717">
        <f>$D164*I164*L_CBac!$J$68</f>
        <v>0</v>
      </c>
    </row>
    <row r="165" spans="1:16" s="183" customFormat="1" ht="14">
      <c r="A165" s="725">
        <f>L_CViec!A120</f>
        <v>11.1</v>
      </c>
      <c r="B165" s="281" t="str">
        <f>L_CViec!B120</f>
        <v>Theo hình thức trực tiếp</v>
      </c>
      <c r="C165" s="278" t="str">
        <f>L_CViec!AD120</f>
        <v>Hồ sơ</v>
      </c>
      <c r="D165" s="278">
        <f>L_CViec!AC120</f>
        <v>1</v>
      </c>
      <c r="E165" s="278" t="str">
        <f>L_CViec!AE120</f>
        <v>1KS3</v>
      </c>
      <c r="F165" s="418" t="str">
        <f>L_CViec!AF120</f>
        <v>1-3</v>
      </c>
      <c r="G165" s="278">
        <f>L_CViec!AG120</f>
        <v>0.2</v>
      </c>
      <c r="H165" s="282">
        <f>L_CViec!AH120</f>
        <v>0.2</v>
      </c>
      <c r="I165" s="282">
        <f>L_CViec!AI120</f>
        <v>0.26</v>
      </c>
      <c r="J165" s="717">
        <f>L_CViec!AJ120</f>
        <v>360525</v>
      </c>
      <c r="K165" s="280">
        <f t="shared" si="34"/>
        <v>72105</v>
      </c>
      <c r="L165" s="280">
        <f t="shared" si="35"/>
        <v>72105</v>
      </c>
      <c r="M165" s="280">
        <f t="shared" si="36"/>
        <v>93736.5</v>
      </c>
      <c r="N165" s="717">
        <f>$D165*G165*L_CBac!$J$68</f>
        <v>1946.1538461538462</v>
      </c>
      <c r="O165" s="717">
        <f>$D165*H165*L_CBac!$J$68</f>
        <v>1946.1538461538462</v>
      </c>
      <c r="P165" s="717">
        <f>$D165*I165*L_CBac!$J$68</f>
        <v>2530</v>
      </c>
    </row>
    <row r="166" spans="1:16" s="50" customFormat="1" ht="14">
      <c r="A166" s="725">
        <f>L_CViec!A121</f>
        <v>11.2</v>
      </c>
      <c r="B166" s="281" t="str">
        <f>L_CViec!B121</f>
        <v>Theo hình thức trực tuyến</v>
      </c>
      <c r="C166" s="278" t="str">
        <f>L_CViec!AD121</f>
        <v>Hồ sơ</v>
      </c>
      <c r="D166" s="278">
        <f>L_CViec!AC121</f>
        <v>1</v>
      </c>
      <c r="E166" s="278" t="str">
        <f>L_CViec!AE121</f>
        <v>1KS3</v>
      </c>
      <c r="F166" s="418" t="str">
        <f>L_CViec!AF121</f>
        <v>1-3</v>
      </c>
      <c r="G166" s="278">
        <f>L_CViec!AG121</f>
        <v>0.15</v>
      </c>
      <c r="H166" s="282">
        <f>L_CViec!AH121</f>
        <v>0.15</v>
      </c>
      <c r="I166" s="282">
        <f>L_CViec!AI121</f>
        <v>0.19500000000000001</v>
      </c>
      <c r="J166" s="717">
        <f>L_CViec!AJ121</f>
        <v>360525</v>
      </c>
      <c r="K166" s="280">
        <f t="shared" si="34"/>
        <v>54078.75</v>
      </c>
      <c r="L166" s="280">
        <f t="shared" si="35"/>
        <v>54078.75</v>
      </c>
      <c r="M166" s="608">
        <f t="shared" si="36"/>
        <v>70302.375</v>
      </c>
      <c r="N166" s="717">
        <f>$D166*G166*L_CBac!$J$68</f>
        <v>1459.6153846153845</v>
      </c>
      <c r="O166" s="717">
        <f>$D166*H166*L_CBac!$J$68</f>
        <v>1459.6153846153845</v>
      </c>
      <c r="P166" s="717">
        <f>$D166*I166*L_CBac!$J$68</f>
        <v>1897.5</v>
      </c>
    </row>
    <row r="167" spans="1:16" s="66" customFormat="1" ht="26">
      <c r="A167" s="725" t="str">
        <f>L_CViec!A122</f>
        <v>12</v>
      </c>
      <c r="B167" s="281" t="str">
        <f>L_CViec!B122</f>
        <v>Kiểm tra việc đủ điều kiện hay không đủ điều kiện được cấp Giấy chứng nhận</v>
      </c>
      <c r="C167" s="278" t="str">
        <f>L_CViec!AD122</f>
        <v>Hồ sơ</v>
      </c>
      <c r="D167" s="278">
        <f>L_CViec!AC122</f>
        <v>1</v>
      </c>
      <c r="E167" s="278" t="str">
        <f>L_CViec!AE122</f>
        <v>1KS3</v>
      </c>
      <c r="F167" s="418" t="str">
        <f>L_CViec!AF122</f>
        <v>1-3</v>
      </c>
      <c r="G167" s="278">
        <f>L_CViec!AG122</f>
        <v>0.5</v>
      </c>
      <c r="H167" s="282">
        <f>L_CViec!AH122</f>
        <v>0.5</v>
      </c>
      <c r="I167" s="282">
        <f>L_CViec!AI122</f>
        <v>0.65</v>
      </c>
      <c r="J167" s="717">
        <f>L_CViec!AJ122</f>
        <v>360525</v>
      </c>
      <c r="K167" s="280">
        <f t="shared" si="34"/>
        <v>180262.5</v>
      </c>
      <c r="L167" s="280">
        <f t="shared" si="35"/>
        <v>180262.5</v>
      </c>
      <c r="M167" s="608">
        <f t="shared" si="36"/>
        <v>234341.25</v>
      </c>
      <c r="N167" s="717">
        <f>$D167*G167*L_CBac!$J$68</f>
        <v>4865.3846153846152</v>
      </c>
      <c r="O167" s="717">
        <f>$D167*H167*L_CBac!$J$68</f>
        <v>4865.3846153846152</v>
      </c>
      <c r="P167" s="717">
        <f>$D167*I167*L_CBac!$J$68</f>
        <v>6325</v>
      </c>
    </row>
    <row r="168" spans="1:16" s="66" customFormat="1" ht="14">
      <c r="A168" s="725" t="str">
        <f>L_CViec!A123</f>
        <v>13</v>
      </c>
      <c r="B168" s="281" t="str">
        <f>L_CViec!B123</f>
        <v>Lập Tờ trình trình Chủ tịch UBND cấp xã</v>
      </c>
      <c r="C168" s="278">
        <f>L_CViec!AD123</f>
        <v>0</v>
      </c>
      <c r="D168" s="278">
        <f>L_CViec!AC123</f>
        <v>0</v>
      </c>
      <c r="E168" s="278">
        <f>L_CViec!AE123</f>
        <v>0</v>
      </c>
      <c r="F168" s="418">
        <f>L_CViec!AF123</f>
        <v>0</v>
      </c>
      <c r="G168" s="278">
        <f>L_CViec!AG123</f>
        <v>0</v>
      </c>
      <c r="H168" s="282">
        <f>L_CViec!AH123</f>
        <v>0</v>
      </c>
      <c r="I168" s="282">
        <f>L_CViec!AI123</f>
        <v>0</v>
      </c>
      <c r="J168" s="717">
        <f>L_CViec!AJ123</f>
        <v>0</v>
      </c>
      <c r="K168" s="280">
        <f t="shared" si="34"/>
        <v>0</v>
      </c>
      <c r="L168" s="280">
        <f t="shared" si="35"/>
        <v>0</v>
      </c>
      <c r="M168" s="280">
        <f t="shared" si="36"/>
        <v>0</v>
      </c>
      <c r="N168" s="717">
        <f>$D168*G168*L_CBac!$J$68</f>
        <v>0</v>
      </c>
      <c r="O168" s="717">
        <f>$D168*H168*L_CBac!$J$68</f>
        <v>0</v>
      </c>
      <c r="P168" s="717">
        <f>$D168*I168*L_CBac!$J$68</f>
        <v>0</v>
      </c>
    </row>
    <row r="169" spans="1:16" s="66" customFormat="1" ht="14">
      <c r="A169" s="725" t="str">
        <f>L_CViec!A124</f>
        <v>13.1</v>
      </c>
      <c r="B169" s="281" t="str">
        <f>L_CViec!B124</f>
        <v>Theo hình thức trực tiếp</v>
      </c>
      <c r="C169" s="278" t="str">
        <f>L_CViec!AD124</f>
        <v>Hồ sơ</v>
      </c>
      <c r="D169" s="278">
        <f>L_CViec!AC124</f>
        <v>1</v>
      </c>
      <c r="E169" s="278" t="str">
        <f>L_CViec!AE124</f>
        <v>1KS3</v>
      </c>
      <c r="F169" s="418" t="str">
        <f>L_CViec!AF124</f>
        <v>1-3</v>
      </c>
      <c r="G169" s="278">
        <f>L_CViec!AG124</f>
        <v>0.05</v>
      </c>
      <c r="H169" s="282">
        <f>L_CViec!AH124</f>
        <v>0.05</v>
      </c>
      <c r="I169" s="282">
        <f>L_CViec!AI124</f>
        <v>6.5000000000000002E-2</v>
      </c>
      <c r="J169" s="717">
        <f>L_CViec!AJ124</f>
        <v>360525</v>
      </c>
      <c r="K169" s="280">
        <f t="shared" si="34"/>
        <v>18026.25</v>
      </c>
      <c r="L169" s="280">
        <f t="shared" si="35"/>
        <v>18026.25</v>
      </c>
      <c r="M169" s="280">
        <f t="shared" si="36"/>
        <v>23434.125</v>
      </c>
      <c r="N169" s="717">
        <f>$D169*G169*L_CBac!$J$68</f>
        <v>486.53846153846155</v>
      </c>
      <c r="O169" s="717">
        <f>$D169*H169*L_CBac!$J$68</f>
        <v>486.53846153846155</v>
      </c>
      <c r="P169" s="717">
        <f>$D169*I169*L_CBac!$J$68</f>
        <v>632.5</v>
      </c>
    </row>
    <row r="170" spans="1:16" s="50" customFormat="1" ht="14">
      <c r="A170" s="725" t="str">
        <f>L_CViec!A125</f>
        <v>13.2</v>
      </c>
      <c r="B170" s="281" t="str">
        <f>L_CViec!B125</f>
        <v>Theo hình thức trực tuyến</v>
      </c>
      <c r="C170" s="278" t="str">
        <f>L_CViec!AD125</f>
        <v>Hồ sơ</v>
      </c>
      <c r="D170" s="278">
        <f>L_CViec!AC125</f>
        <v>1</v>
      </c>
      <c r="E170" s="278" t="str">
        <f>L_CViec!AE125</f>
        <v>1KS3</v>
      </c>
      <c r="F170" s="418" t="str">
        <f>L_CViec!AF125</f>
        <v>1-3</v>
      </c>
      <c r="G170" s="278">
        <f>L_CViec!AG125</f>
        <v>2.5000000000000001E-2</v>
      </c>
      <c r="H170" s="282">
        <f>L_CViec!AH125</f>
        <v>2.5000000000000001E-2</v>
      </c>
      <c r="I170" s="282">
        <f>L_CViec!AI125</f>
        <v>3.3000000000000002E-2</v>
      </c>
      <c r="J170" s="717">
        <f>L_CViec!AJ125</f>
        <v>360525</v>
      </c>
      <c r="K170" s="280">
        <f t="shared" si="34"/>
        <v>9013.125</v>
      </c>
      <c r="L170" s="280">
        <f t="shared" si="35"/>
        <v>9013.125</v>
      </c>
      <c r="M170" s="608">
        <f t="shared" si="36"/>
        <v>11897.325000000001</v>
      </c>
      <c r="N170" s="717">
        <f>$D170*G170*L_CBac!$J$68</f>
        <v>243.26923076923077</v>
      </c>
      <c r="O170" s="717">
        <f>$D170*H170*L_CBac!$J$68</f>
        <v>243.26923076923077</v>
      </c>
      <c r="P170" s="717">
        <f>$D170*I170*L_CBac!$J$68</f>
        <v>321.11538461538464</v>
      </c>
    </row>
    <row r="171" spans="1:16" s="66" customFormat="1" ht="24" customHeight="1">
      <c r="A171" s="725" t="str">
        <f>L_CViec!A126</f>
        <v>14</v>
      </c>
      <c r="B171" s="281" t="str">
        <f>L_CViec!B126</f>
        <v>Quyết định hình thức sử dụng đất đối với tổ chức</v>
      </c>
      <c r="C171" s="278" t="str">
        <f>L_CViec!AD126</f>
        <v>Hồ sơ</v>
      </c>
      <c r="D171" s="278">
        <f>L_CViec!AC126</f>
        <v>1</v>
      </c>
      <c r="E171" s="278" t="str">
        <f>L_CViec!AE126</f>
        <v>1KS3</v>
      </c>
      <c r="F171" s="418" t="str">
        <f>L_CViec!AF126</f>
        <v>1-3</v>
      </c>
      <c r="G171" s="278">
        <f>L_CViec!AG126</f>
        <v>0.05</v>
      </c>
      <c r="H171" s="282">
        <f>L_CViec!AH126</f>
        <v>0.05</v>
      </c>
      <c r="I171" s="282">
        <f>L_CViec!AI126</f>
        <v>0.05</v>
      </c>
      <c r="J171" s="717">
        <f>L_CViec!AJ126</f>
        <v>360525</v>
      </c>
      <c r="K171" s="280">
        <f t="shared" si="34"/>
        <v>18026.25</v>
      </c>
      <c r="L171" s="280">
        <f t="shared" si="35"/>
        <v>18026.25</v>
      </c>
      <c r="M171" s="280">
        <f t="shared" si="36"/>
        <v>18026.25</v>
      </c>
      <c r="N171" s="717">
        <f>$D171*G171*L_CBac!$J$68</f>
        <v>486.53846153846155</v>
      </c>
      <c r="O171" s="717">
        <f>$D171*H171*L_CBac!$J$68</f>
        <v>486.53846153846155</v>
      </c>
      <c r="P171" s="717">
        <f>$D171*I171*L_CBac!$J$68</f>
        <v>486.53846153846155</v>
      </c>
    </row>
    <row r="172" spans="1:16" s="66" customFormat="1" ht="24" customHeight="1">
      <c r="A172" s="725" t="str">
        <f>L_CViec!A127</f>
        <v>15</v>
      </c>
      <c r="B172" s="281" t="str">
        <f>L_CViec!B127</f>
        <v>Ban hành Thông báo xác nhận kết quả đăng ký đất đai đối với trường hợp không có nhu cầu hoặc không đủ điều kiện cấp Giấy chứng nhận</v>
      </c>
      <c r="C172" s="278" t="str">
        <f>L_CViec!AD127</f>
        <v>Hồ sơ</v>
      </c>
      <c r="D172" s="278">
        <f>L_CViec!AC127</f>
        <v>1</v>
      </c>
      <c r="E172" s="278" t="str">
        <f>L_CViec!AE127</f>
        <v>1KS2</v>
      </c>
      <c r="F172" s="418" t="str">
        <f>L_CViec!AF127</f>
        <v>1-3</v>
      </c>
      <c r="G172" s="278">
        <f>L_CViec!AG127</f>
        <v>0.2</v>
      </c>
      <c r="H172" s="282">
        <f>L_CViec!AH127</f>
        <v>0.2</v>
      </c>
      <c r="I172" s="282">
        <f>L_CViec!AI127</f>
        <v>0.2</v>
      </c>
      <c r="J172" s="717">
        <f>L_CViec!AJ127</f>
        <v>320867.25</v>
      </c>
      <c r="K172" s="280">
        <f t="shared" si="34"/>
        <v>64173.450000000004</v>
      </c>
      <c r="L172" s="280">
        <f t="shared" si="35"/>
        <v>64173.450000000004</v>
      </c>
      <c r="M172" s="608">
        <f t="shared" si="36"/>
        <v>64173.450000000004</v>
      </c>
      <c r="N172" s="717">
        <f>$D172*G172*L_CBac!$J$68</f>
        <v>1946.1538461538462</v>
      </c>
      <c r="O172" s="717">
        <f>$D172*H172*L_CBac!$J$68</f>
        <v>1946.1538461538462</v>
      </c>
      <c r="P172" s="717">
        <f>$D172*I172*L_CBac!$J$68</f>
        <v>1946.1538461538462</v>
      </c>
    </row>
    <row r="173" spans="1:16" s="50" customFormat="1" ht="51" customHeight="1">
      <c r="A173" s="725">
        <f>L_CViec!A128</f>
        <v>16</v>
      </c>
      <c r="B173" s="281" t="str">
        <f>L_CViec!B128</f>
        <v>Chuyển Thông báo xác nhận kết quả đăng ký đất đai đến Bộ phận một cửa hoặc chuyển Giấy chứng nhận thông qua dịch vụ bưu chính công ích để trao cho người sử dụng đất</v>
      </c>
      <c r="C173" s="278" t="str">
        <f>L_CViec!AD128</f>
        <v>Hồ sơ</v>
      </c>
      <c r="D173" s="278">
        <f>L_CViec!AC128</f>
        <v>1</v>
      </c>
      <c r="E173" s="278" t="str">
        <f>L_CViec!AE128</f>
        <v>1KS2</v>
      </c>
      <c r="F173" s="418" t="str">
        <f>L_CViec!AF128</f>
        <v>1-3</v>
      </c>
      <c r="G173" s="278">
        <f>L_CViec!AG128</f>
        <v>0.05</v>
      </c>
      <c r="H173" s="282">
        <f>L_CViec!AH128</f>
        <v>0.05</v>
      </c>
      <c r="I173" s="282">
        <f>L_CViec!AI128</f>
        <v>0.05</v>
      </c>
      <c r="J173" s="717">
        <f>L_CViec!AJ128</f>
        <v>320867.25</v>
      </c>
      <c r="K173" s="280">
        <f t="shared" si="34"/>
        <v>16043.362500000001</v>
      </c>
      <c r="L173" s="280">
        <f t="shared" si="35"/>
        <v>16043.362500000001</v>
      </c>
      <c r="M173" s="608">
        <f t="shared" si="36"/>
        <v>16043.362500000001</v>
      </c>
      <c r="N173" s="717">
        <f>$D173*G173*L_CBac!$J$68</f>
        <v>486.53846153846155</v>
      </c>
      <c r="O173" s="717">
        <f>$D173*H173*L_CBac!$J$68</f>
        <v>486.53846153846155</v>
      </c>
      <c r="P173" s="717">
        <f>$D173*I173*L_CBac!$J$68</f>
        <v>486.53846153846155</v>
      </c>
    </row>
    <row r="174" spans="1:16" s="50" customFormat="1" ht="39">
      <c r="A174" s="725">
        <f>L_CViec!A129</f>
        <v>17</v>
      </c>
      <c r="B174" s="281" t="str">
        <f>L_CViec!B129</f>
        <v>Lập, gửi Phiếu chuyển thông tin xác định nghĩa vụ tài chính đối với trường hợp có nhu cầu cấp Giấy chứng nhận và đủ điều kiện</v>
      </c>
      <c r="C174" s="278">
        <f>L_CViec!AD129</f>
        <v>0</v>
      </c>
      <c r="D174" s="278">
        <f>L_CViec!AC129</f>
        <v>0</v>
      </c>
      <c r="E174" s="278">
        <f>L_CViec!AE129</f>
        <v>0</v>
      </c>
      <c r="F174" s="418">
        <f>L_CViec!AF129</f>
        <v>0</v>
      </c>
      <c r="G174" s="278">
        <f>L_CViec!AG129</f>
        <v>0</v>
      </c>
      <c r="H174" s="282">
        <f>L_CViec!AH129</f>
        <v>0</v>
      </c>
      <c r="I174" s="282">
        <f>L_CViec!AI129</f>
        <v>0</v>
      </c>
      <c r="J174" s="717">
        <f>L_CViec!AJ129</f>
        <v>0</v>
      </c>
      <c r="K174" s="280">
        <f t="shared" si="34"/>
        <v>0</v>
      </c>
      <c r="L174" s="280">
        <f t="shared" si="35"/>
        <v>0</v>
      </c>
      <c r="M174" s="280">
        <f t="shared" si="36"/>
        <v>0</v>
      </c>
      <c r="N174" s="717">
        <f>$D174*G174*L_CBac!$J$68</f>
        <v>0</v>
      </c>
      <c r="O174" s="717">
        <f>$D174*H174*L_CBac!$J$68</f>
        <v>0</v>
      </c>
      <c r="P174" s="717">
        <f>$D174*I174*L_CBac!$J$68</f>
        <v>0</v>
      </c>
    </row>
    <row r="175" spans="1:16" s="50" customFormat="1" ht="14">
      <c r="A175" s="725">
        <f>L_CViec!A130</f>
        <v>17.100000000000001</v>
      </c>
      <c r="B175" s="281" t="str">
        <f>L_CViec!B130</f>
        <v>Chuyển thông tin theo hình thức liên thông</v>
      </c>
      <c r="C175" s="278" t="str">
        <f>L_CViec!AD130</f>
        <v>Hồ sơ</v>
      </c>
      <c r="D175" s="278">
        <f>L_CViec!AC130</f>
        <v>1</v>
      </c>
      <c r="E175" s="278" t="str">
        <f>L_CViec!AE130</f>
        <v>1KS3</v>
      </c>
      <c r="F175" s="418" t="str">
        <f>L_CViec!AF130</f>
        <v>1-3</v>
      </c>
      <c r="G175" s="278">
        <f>L_CViec!AG130</f>
        <v>0.1</v>
      </c>
      <c r="H175" s="282">
        <f>L_CViec!AH130</f>
        <v>0.1</v>
      </c>
      <c r="I175" s="282">
        <f>L_CViec!AI130</f>
        <v>0.13</v>
      </c>
      <c r="J175" s="717">
        <f>L_CViec!AJ130</f>
        <v>360525</v>
      </c>
      <c r="K175" s="280">
        <f t="shared" si="34"/>
        <v>36052.5</v>
      </c>
      <c r="L175" s="280">
        <f t="shared" si="35"/>
        <v>36052.5</v>
      </c>
      <c r="M175" s="608">
        <f t="shared" si="36"/>
        <v>46868.25</v>
      </c>
      <c r="N175" s="717">
        <f>$D175*G175*L_CBac!$J$68</f>
        <v>973.07692307692309</v>
      </c>
      <c r="O175" s="717">
        <f>$D175*H175*L_CBac!$J$68</f>
        <v>973.07692307692309</v>
      </c>
      <c r="P175" s="717">
        <f>$D175*I175*L_CBac!$J$68</f>
        <v>1265</v>
      </c>
    </row>
    <row r="176" spans="1:16" s="66" customFormat="1" ht="14">
      <c r="A176" s="725">
        <f>L_CViec!A131</f>
        <v>17.2</v>
      </c>
      <c r="B176" s="281" t="str">
        <f>L_CViec!B131</f>
        <v>Chuyển thông tin theo hình thức trực tiếp</v>
      </c>
      <c r="C176" s="278" t="str">
        <f>L_CViec!AD131</f>
        <v>Hồ sơ</v>
      </c>
      <c r="D176" s="278">
        <f>L_CViec!AC131</f>
        <v>1</v>
      </c>
      <c r="E176" s="278" t="str">
        <f>L_CViec!AE131</f>
        <v>1KS3</v>
      </c>
      <c r="F176" s="418" t="str">
        <f>L_CViec!AF131</f>
        <v>1-3</v>
      </c>
      <c r="G176" s="278">
        <f>L_CViec!AG131</f>
        <v>0.2</v>
      </c>
      <c r="H176" s="282">
        <f>L_CViec!AH131</f>
        <v>0.2</v>
      </c>
      <c r="I176" s="282">
        <f>L_CViec!AI131</f>
        <v>0.26</v>
      </c>
      <c r="J176" s="717">
        <f>L_CViec!AJ131</f>
        <v>360525</v>
      </c>
      <c r="K176" s="280">
        <f t="shared" si="34"/>
        <v>72105</v>
      </c>
      <c r="L176" s="280">
        <f t="shared" si="35"/>
        <v>72105</v>
      </c>
      <c r="M176" s="280">
        <f t="shared" si="36"/>
        <v>93736.5</v>
      </c>
      <c r="N176" s="717">
        <f>$D176*G176*L_CBac!$J$68</f>
        <v>1946.1538461538462</v>
      </c>
      <c r="O176" s="717">
        <f>$D176*H176*L_CBac!$J$68</f>
        <v>1946.1538461538462</v>
      </c>
      <c r="P176" s="717">
        <f>$D176*I176*L_CBac!$J$68</f>
        <v>2530</v>
      </c>
    </row>
    <row r="177" spans="1:16" s="66" customFormat="1" ht="26">
      <c r="A177" s="725">
        <f>L_CViec!A132</f>
        <v>18</v>
      </c>
      <c r="B177" s="281" t="str">
        <f>L_CViec!B132</f>
        <v>Nhận thông báo hoàn thành nghĩa vụ tài chính từ cơ quan thuế hoặc được ghi nợ nghĩa vụ tài chính</v>
      </c>
      <c r="C177" s="278">
        <f>L_CViec!AD132</f>
        <v>0</v>
      </c>
      <c r="D177" s="278">
        <f>L_CViec!AC132</f>
        <v>0</v>
      </c>
      <c r="E177" s="278">
        <f>L_CViec!AE132</f>
        <v>0</v>
      </c>
      <c r="F177" s="418">
        <f>L_CViec!AF132</f>
        <v>0</v>
      </c>
      <c r="G177" s="278">
        <f>L_CViec!AG132</f>
        <v>0</v>
      </c>
      <c r="H177" s="282">
        <f>L_CViec!AH132</f>
        <v>0</v>
      </c>
      <c r="I177" s="282">
        <f>L_CViec!AI132</f>
        <v>0</v>
      </c>
      <c r="J177" s="717">
        <f>L_CViec!AJ132</f>
        <v>0</v>
      </c>
      <c r="K177" s="280">
        <f t="shared" si="34"/>
        <v>0</v>
      </c>
      <c r="L177" s="280">
        <f t="shared" si="35"/>
        <v>0</v>
      </c>
      <c r="M177" s="280">
        <f t="shared" si="36"/>
        <v>0</v>
      </c>
      <c r="N177" s="717">
        <f>$D177*G177*L_CBac!$J$68</f>
        <v>0</v>
      </c>
      <c r="O177" s="717">
        <f>$D177*H177*L_CBac!$J$68</f>
        <v>0</v>
      </c>
      <c r="P177" s="717">
        <f>$D177*I177*L_CBac!$J$68</f>
        <v>0</v>
      </c>
    </row>
    <row r="178" spans="1:16" s="305" customFormat="1" ht="14">
      <c r="A178" s="726">
        <f>L_CViec!A133</f>
        <v>18.100000000000001</v>
      </c>
      <c r="B178" s="225" t="str">
        <f>L_CViec!B133</f>
        <v>Chuyển thông tin theo hình thức trực tiếp</v>
      </c>
      <c r="C178" s="226" t="str">
        <f>L_CViec!AD133</f>
        <v>Hồ sơ</v>
      </c>
      <c r="D178" s="226">
        <f>L_CViec!AC133</f>
        <v>1</v>
      </c>
      <c r="E178" s="226" t="str">
        <f>L_CViec!AE133</f>
        <v>1KS3</v>
      </c>
      <c r="F178" s="418" t="str">
        <f>L_CViec!AF133</f>
        <v>1-3</v>
      </c>
      <c r="G178" s="226">
        <f>L_CViec!AG133</f>
        <v>0.1</v>
      </c>
      <c r="H178" s="283">
        <f>L_CViec!AH133</f>
        <v>0.1</v>
      </c>
      <c r="I178" s="282">
        <f>L_CViec!AI133</f>
        <v>0.13</v>
      </c>
      <c r="J178" s="717">
        <f>L_CViec!AJ133</f>
        <v>360525</v>
      </c>
      <c r="K178" s="280">
        <f t="shared" si="34"/>
        <v>36052.5</v>
      </c>
      <c r="L178" s="280">
        <f t="shared" si="35"/>
        <v>36052.5</v>
      </c>
      <c r="M178" s="280">
        <f t="shared" si="36"/>
        <v>46868.25</v>
      </c>
      <c r="N178" s="717">
        <f>$D178*G178*L_CBac!$J$68</f>
        <v>973.07692307692309</v>
      </c>
      <c r="O178" s="717">
        <f>$D178*H178*L_CBac!$J$68</f>
        <v>973.07692307692309</v>
      </c>
      <c r="P178" s="717">
        <f>$D178*I178*L_CBac!$J$68</f>
        <v>1265</v>
      </c>
    </row>
    <row r="179" spans="1:16" s="50" customFormat="1" ht="14">
      <c r="A179" s="726">
        <f>L_CViec!A134</f>
        <v>18.2</v>
      </c>
      <c r="B179" s="225" t="str">
        <f>L_CViec!B134</f>
        <v>Chuyển thông tin theo hình thức liên thông</v>
      </c>
      <c r="C179" s="226" t="str">
        <f>L_CViec!AD134</f>
        <v>Hồ sơ</v>
      </c>
      <c r="D179" s="226">
        <f>L_CViec!AC134</f>
        <v>1</v>
      </c>
      <c r="E179" s="226" t="str">
        <f>L_CViec!AE134</f>
        <v>1KS3</v>
      </c>
      <c r="F179" s="418" t="str">
        <f>L_CViec!AF134</f>
        <v>1-3</v>
      </c>
      <c r="G179" s="226">
        <f>L_CViec!AG134</f>
        <v>0.2</v>
      </c>
      <c r="H179" s="283">
        <f>L_CViec!AH134</f>
        <v>0.2</v>
      </c>
      <c r="I179" s="282">
        <f>L_CViec!AI134</f>
        <v>0.26</v>
      </c>
      <c r="J179" s="717">
        <f>L_CViec!AJ134</f>
        <v>360525</v>
      </c>
      <c r="K179" s="280">
        <f t="shared" si="34"/>
        <v>72105</v>
      </c>
      <c r="L179" s="280">
        <f t="shared" si="35"/>
        <v>72105</v>
      </c>
      <c r="M179" s="608">
        <f t="shared" si="36"/>
        <v>93736.5</v>
      </c>
      <c r="N179" s="717">
        <f>$D179*G179*L_CBac!$J$68</f>
        <v>1946.1538461538462</v>
      </c>
      <c r="O179" s="717">
        <f>$D179*H179*L_CBac!$J$68</f>
        <v>1946.1538461538462</v>
      </c>
      <c r="P179" s="717">
        <f>$D179*I179*L_CBac!$J$68</f>
        <v>2530</v>
      </c>
    </row>
    <row r="180" spans="1:16" s="66" customFormat="1" ht="26">
      <c r="A180" s="725">
        <f>L_CViec!A135</f>
        <v>19</v>
      </c>
      <c r="B180" s="281" t="str">
        <f>L_CViec!B135</f>
        <v xml:space="preserve">Nhập thông tin về nghĩa vụ tài chính, đăng ký vào hồ sơ địa chính </v>
      </c>
      <c r="C180" s="278" t="str">
        <f>L_CViec!AD135</f>
        <v>Hồ sơ</v>
      </c>
      <c r="D180" s="278">
        <f>L_CViec!AC135</f>
        <v>1</v>
      </c>
      <c r="E180" s="278" t="str">
        <f>L_CViec!AE135</f>
        <v>1KS3</v>
      </c>
      <c r="F180" s="418" t="str">
        <f>L_CViec!AF135</f>
        <v>1-3</v>
      </c>
      <c r="G180" s="278">
        <f>L_CViec!AG135</f>
        <v>0.03</v>
      </c>
      <c r="H180" s="282">
        <f>L_CViec!AH135</f>
        <v>0.03</v>
      </c>
      <c r="I180" s="282">
        <f>L_CViec!AI135</f>
        <v>0.03</v>
      </c>
      <c r="J180" s="717">
        <f>L_CViec!AJ135</f>
        <v>360525</v>
      </c>
      <c r="K180" s="280">
        <f t="shared" si="34"/>
        <v>10815.75</v>
      </c>
      <c r="L180" s="280">
        <f t="shared" si="35"/>
        <v>10815.75</v>
      </c>
      <c r="M180" s="608">
        <f t="shared" si="36"/>
        <v>10815.75</v>
      </c>
      <c r="N180" s="717">
        <f>$D180*G180*L_CBac!$J$68</f>
        <v>291.92307692307691</v>
      </c>
      <c r="O180" s="717">
        <f>$D180*H180*L_CBac!$J$68</f>
        <v>291.92307692307691</v>
      </c>
      <c r="P180" s="717">
        <f>$D180*I180*L_CBac!$J$68</f>
        <v>291.92307692307691</v>
      </c>
    </row>
    <row r="181" spans="1:16" s="66" customFormat="1" ht="14">
      <c r="A181" s="725">
        <f>L_CViec!A136</f>
        <v>20</v>
      </c>
      <c r="B181" s="281" t="str">
        <f>L_CViec!B136</f>
        <v>Chuẩn bị hợp đồng cho thuê đất (nếu có)</v>
      </c>
      <c r="C181" s="278" t="str">
        <f>L_CViec!AD136</f>
        <v>Hồ sơ</v>
      </c>
      <c r="D181" s="278">
        <f>L_CViec!AC136</f>
        <v>1</v>
      </c>
      <c r="E181" s="278" t="str">
        <f>L_CViec!AE136</f>
        <v>1KS3</v>
      </c>
      <c r="F181" s="418" t="str">
        <f>L_CViec!AF136</f>
        <v>1-3</v>
      </c>
      <c r="G181" s="278">
        <f>L_CViec!AG136</f>
        <v>0.2</v>
      </c>
      <c r="H181" s="282">
        <f>L_CViec!AH136</f>
        <v>0.2</v>
      </c>
      <c r="I181" s="282">
        <f>L_CViec!AI136</f>
        <v>0.2</v>
      </c>
      <c r="J181" s="717">
        <f>L_CViec!AJ136</f>
        <v>360525</v>
      </c>
      <c r="K181" s="280">
        <f t="shared" si="34"/>
        <v>72105</v>
      </c>
      <c r="L181" s="280">
        <f t="shared" si="35"/>
        <v>72105</v>
      </c>
      <c r="M181" s="608">
        <f t="shared" si="36"/>
        <v>72105</v>
      </c>
      <c r="N181" s="717">
        <f>$D181*G181*L_CBac!$J$68</f>
        <v>1946.1538461538462</v>
      </c>
      <c r="O181" s="717">
        <f>$D181*H181*L_CBac!$J$68</f>
        <v>1946.1538461538462</v>
      </c>
      <c r="P181" s="717">
        <f>$D181*I181*L_CBac!$J$68</f>
        <v>1946.1538461538462</v>
      </c>
    </row>
    <row r="182" spans="1:16" s="50" customFormat="1" ht="14">
      <c r="A182" s="725">
        <f>L_CViec!A137</f>
        <v>21</v>
      </c>
      <c r="B182" s="281" t="str">
        <f>L_CViec!B137</f>
        <v>In GCN</v>
      </c>
      <c r="C182" s="278">
        <f>L_CViec!AD137</f>
        <v>0</v>
      </c>
      <c r="D182" s="278">
        <f>L_CViec!AC137</f>
        <v>0</v>
      </c>
      <c r="E182" s="278">
        <f>L_CViec!AE137</f>
        <v>0</v>
      </c>
      <c r="F182" s="418">
        <f>L_CViec!AF137</f>
        <v>0</v>
      </c>
      <c r="G182" s="278">
        <f>L_CViec!AG137</f>
        <v>0</v>
      </c>
      <c r="H182" s="282">
        <f>L_CViec!AH137</f>
        <v>0</v>
      </c>
      <c r="I182" s="282">
        <f>L_CViec!AI137</f>
        <v>0</v>
      </c>
      <c r="J182" s="717">
        <f>L_CViec!AJ137</f>
        <v>0</v>
      </c>
      <c r="K182" s="280">
        <f t="shared" si="34"/>
        <v>0</v>
      </c>
      <c r="L182" s="280">
        <f t="shared" si="35"/>
        <v>0</v>
      </c>
      <c r="M182" s="280">
        <f t="shared" si="36"/>
        <v>0</v>
      </c>
      <c r="N182" s="717">
        <f>$D182*G182*L_CBac!$J$68</f>
        <v>0</v>
      </c>
      <c r="O182" s="717">
        <f>$D182*H182*L_CBac!$J$68</f>
        <v>0</v>
      </c>
      <c r="P182" s="717">
        <f>$D182*I182*L_CBac!$J$68</f>
        <v>0</v>
      </c>
    </row>
    <row r="183" spans="1:16" s="50" customFormat="1" ht="14">
      <c r="A183" s="725">
        <f>L_CViec!A138</f>
        <v>21.1</v>
      </c>
      <c r="B183" s="281" t="str">
        <f>L_CViec!B138</f>
        <v xml:space="preserve">Trực tiếp từ cơ sở dữ liệu dạng số </v>
      </c>
      <c r="C183" s="278" t="str">
        <f>L_CViec!AD138</f>
        <v>Hồ sơ</v>
      </c>
      <c r="D183" s="278">
        <f>L_CViec!AC138</f>
        <v>1</v>
      </c>
      <c r="E183" s="278" t="str">
        <f>L_CViec!AE138</f>
        <v>1KS2</v>
      </c>
      <c r="F183" s="418" t="str">
        <f>L_CViec!AF138</f>
        <v>1-3</v>
      </c>
      <c r="G183" s="278">
        <f>L_CViec!AG138</f>
        <v>0.1</v>
      </c>
      <c r="H183" s="282">
        <f>L_CViec!AH138</f>
        <v>0.1</v>
      </c>
      <c r="I183" s="282">
        <f>L_CViec!AI138</f>
        <v>0.1</v>
      </c>
      <c r="J183" s="717">
        <f>L_CViec!AJ138</f>
        <v>320867.25</v>
      </c>
      <c r="K183" s="280">
        <f t="shared" si="34"/>
        <v>32086.725000000002</v>
      </c>
      <c r="L183" s="280">
        <f t="shared" si="35"/>
        <v>32086.725000000002</v>
      </c>
      <c r="M183" s="608">
        <f t="shared" si="36"/>
        <v>32086.725000000002</v>
      </c>
      <c r="N183" s="717">
        <f>$D183*G183*L_CBac!$J$68</f>
        <v>973.07692307692309</v>
      </c>
      <c r="O183" s="717">
        <f>$D183*H183*L_CBac!$J$68</f>
        <v>973.07692307692309</v>
      </c>
      <c r="P183" s="717">
        <f>$D183*I183*L_CBac!$J$68</f>
        <v>973.07692307692309</v>
      </c>
    </row>
    <row r="184" spans="1:16" s="50" customFormat="1" ht="14">
      <c r="A184" s="725">
        <f>L_CViec!A139</f>
        <v>21.2</v>
      </c>
      <c r="B184" s="281" t="str">
        <f>L_CViec!B139</f>
        <v>Đối với những nơi chưa có bản đồ dạng số</v>
      </c>
      <c r="C184" s="278" t="str">
        <f>L_CViec!AD139</f>
        <v>Hồ sơ</v>
      </c>
      <c r="D184" s="278">
        <f>L_CViec!AC139</f>
        <v>1</v>
      </c>
      <c r="E184" s="278" t="str">
        <f>L_CViec!AE139</f>
        <v>1KS2</v>
      </c>
      <c r="F184" s="418" t="str">
        <f>L_CViec!AF139</f>
        <v>1-3</v>
      </c>
      <c r="G184" s="278">
        <f>L_CViec!AG139</f>
        <v>0.15</v>
      </c>
      <c r="H184" s="282">
        <f>L_CViec!AH139</f>
        <v>0.15</v>
      </c>
      <c r="I184" s="282">
        <f>L_CViec!AI139</f>
        <v>0.2</v>
      </c>
      <c r="J184" s="717">
        <f>L_CViec!AJ139</f>
        <v>320867.25</v>
      </c>
      <c r="K184" s="280">
        <f t="shared" si="34"/>
        <v>48130.087500000001</v>
      </c>
      <c r="L184" s="280">
        <f t="shared" si="35"/>
        <v>48130.087500000001</v>
      </c>
      <c r="M184" s="280">
        <f t="shared" si="36"/>
        <v>64173.450000000004</v>
      </c>
      <c r="N184" s="717">
        <f>$D184*G184*L_CBac!$J$68</f>
        <v>1459.6153846153845</v>
      </c>
      <c r="O184" s="717">
        <f>$D184*H184*L_CBac!$J$68</f>
        <v>1459.6153846153845</v>
      </c>
      <c r="P184" s="717">
        <f>$D184*I184*L_CBac!$J$68</f>
        <v>1946.1538461538462</v>
      </c>
    </row>
    <row r="185" spans="1:16" s="66" customFormat="1" ht="14">
      <c r="A185" s="725">
        <f>L_CViec!A140</f>
        <v>22</v>
      </c>
      <c r="B185" s="281" t="str">
        <f>L_CViec!B140</f>
        <v>Cấp Giấy chứng nhận</v>
      </c>
      <c r="C185" s="278" t="str">
        <f>L_CViec!AD140</f>
        <v>Hồ sơ</v>
      </c>
      <c r="D185" s="278">
        <f>L_CViec!AC140</f>
        <v>1</v>
      </c>
      <c r="E185" s="278" t="str">
        <f>L_CViec!AE140</f>
        <v>1KS3</v>
      </c>
      <c r="F185" s="418" t="str">
        <f>L_CViec!AF140</f>
        <v>1-3</v>
      </c>
      <c r="G185" s="278">
        <f>L_CViec!AG140</f>
        <v>0.05</v>
      </c>
      <c r="H185" s="282">
        <f>L_CViec!AH140</f>
        <v>0.05</v>
      </c>
      <c r="I185" s="282">
        <f>L_CViec!AI140</f>
        <v>0.05</v>
      </c>
      <c r="J185" s="717">
        <f>L_CViec!AJ140</f>
        <v>360525</v>
      </c>
      <c r="K185" s="280">
        <f t="shared" si="34"/>
        <v>18026.25</v>
      </c>
      <c r="L185" s="280">
        <f t="shared" si="35"/>
        <v>18026.25</v>
      </c>
      <c r="M185" s="608">
        <f t="shared" si="36"/>
        <v>18026.25</v>
      </c>
      <c r="N185" s="717">
        <f>$D185*G185*L_CBac!$J$68</f>
        <v>486.53846153846155</v>
      </c>
      <c r="O185" s="717">
        <f>$D185*H185*L_CBac!$J$68</f>
        <v>486.53846153846155</v>
      </c>
      <c r="P185" s="717">
        <f>$D185*I185*L_CBac!$J$68</f>
        <v>486.53846153846155</v>
      </c>
    </row>
    <row r="186" spans="1:16" s="66" customFormat="1" ht="14">
      <c r="A186" s="725" t="str">
        <f>L_CViec!A141</f>
        <v>23</v>
      </c>
      <c r="B186" s="281" t="str">
        <f>L_CViec!B141</f>
        <v>Nhập bổ sung thông tin dữ liệu về Giấy chứng nhận đã cấp</v>
      </c>
      <c r="C186" s="278" t="str">
        <f>L_CViec!AD141</f>
        <v>Hồ sơ</v>
      </c>
      <c r="D186" s="278">
        <f>L_CViec!AC141</f>
        <v>1</v>
      </c>
      <c r="E186" s="278" t="str">
        <f>L_CViec!AE141</f>
        <v>1KS3</v>
      </c>
      <c r="F186" s="418" t="str">
        <f>L_CViec!AF141</f>
        <v>1-3</v>
      </c>
      <c r="G186" s="278">
        <f>L_CViec!AG141</f>
        <v>0.1</v>
      </c>
      <c r="H186" s="282">
        <f>L_CViec!AH141</f>
        <v>0.1</v>
      </c>
      <c r="I186" s="282">
        <f>L_CViec!AI141</f>
        <v>0.1</v>
      </c>
      <c r="J186" s="717">
        <f>L_CViec!AJ141</f>
        <v>320867.25</v>
      </c>
      <c r="K186" s="280">
        <f t="shared" si="34"/>
        <v>32086.725000000002</v>
      </c>
      <c r="L186" s="280">
        <f t="shared" si="35"/>
        <v>32086.725000000002</v>
      </c>
      <c r="M186" s="608">
        <f t="shared" si="36"/>
        <v>32086.725000000002</v>
      </c>
      <c r="N186" s="717">
        <f>$D186*G186*L_CBac!$J$68</f>
        <v>973.07692307692309</v>
      </c>
      <c r="O186" s="717">
        <f>$D186*H186*L_CBac!$J$68</f>
        <v>973.07692307692309</v>
      </c>
      <c r="P186" s="717">
        <f>$D186*I186*L_CBac!$J$68</f>
        <v>973.07692307692309</v>
      </c>
    </row>
    <row r="187" spans="1:16" s="50" customFormat="1" ht="14">
      <c r="A187" s="725" t="str">
        <f>L_CViec!A142</f>
        <v>24</v>
      </c>
      <c r="B187" s="281" t="str">
        <f>L_CViec!B142</f>
        <v>Quét bổ sung các giấy tờ trong hồ sơ đăng ký đất đai</v>
      </c>
      <c r="C187" s="278">
        <f>L_CViec!AD142</f>
        <v>0</v>
      </c>
      <c r="D187" s="278">
        <f>L_CViec!AC142</f>
        <v>0</v>
      </c>
      <c r="E187" s="278">
        <f>L_CViec!AE142</f>
        <v>0</v>
      </c>
      <c r="F187" s="418">
        <f>L_CViec!AF142</f>
        <v>0</v>
      </c>
      <c r="G187" s="278">
        <f>L_CViec!AG142</f>
        <v>0</v>
      </c>
      <c r="H187" s="282">
        <f>L_CViec!AH142</f>
        <v>0</v>
      </c>
      <c r="I187" s="282">
        <f>L_CViec!AI142</f>
        <v>0</v>
      </c>
      <c r="J187" s="717">
        <f>L_CViec!AJ142</f>
        <v>0</v>
      </c>
      <c r="K187" s="280">
        <f t="shared" si="34"/>
        <v>0</v>
      </c>
      <c r="L187" s="280">
        <f t="shared" si="35"/>
        <v>0</v>
      </c>
      <c r="M187" s="280">
        <f t="shared" si="36"/>
        <v>0</v>
      </c>
      <c r="N187" s="717">
        <f>$D187*G187*L_CBac!$J$68</f>
        <v>0</v>
      </c>
      <c r="O187" s="717">
        <f>$D187*H187*L_CBac!$J$68</f>
        <v>0</v>
      </c>
      <c r="P187" s="717">
        <f>$D187*I187*L_CBac!$J$68</f>
        <v>0</v>
      </c>
    </row>
    <row r="188" spans="1:16" s="50" customFormat="1" ht="14">
      <c r="A188" s="725" t="str">
        <f>L_CViec!A143</f>
        <v>24.1</v>
      </c>
      <c r="B188" s="281" t="str">
        <f>L_CViec!B143</f>
        <v>Quét trang A3</v>
      </c>
      <c r="C188" s="278" t="str">
        <f>L_CViec!AD143</f>
        <v>Trang</v>
      </c>
      <c r="D188" s="278">
        <f>L_CViec!AC143</f>
        <v>1</v>
      </c>
      <c r="E188" s="278" t="str">
        <f>L_CViec!AE143</f>
        <v>1KS1</v>
      </c>
      <c r="F188" s="418" t="str">
        <f>L_CViec!AF143</f>
        <v>1-3</v>
      </c>
      <c r="G188" s="278">
        <f>L_CViec!AG143</f>
        <v>1.6E-2</v>
      </c>
      <c r="H188" s="282">
        <f>L_CViec!AH143</f>
        <v>1.6E-2</v>
      </c>
      <c r="I188" s="282">
        <f>L_CViec!AI143</f>
        <v>0.02</v>
      </c>
      <c r="J188" s="717">
        <f>L_CViec!AJ143</f>
        <v>281209.5</v>
      </c>
      <c r="K188" s="280">
        <f t="shared" si="34"/>
        <v>4499.3519999999999</v>
      </c>
      <c r="L188" s="280">
        <f t="shared" si="35"/>
        <v>4499.3519999999999</v>
      </c>
      <c r="M188" s="280">
        <f t="shared" si="36"/>
        <v>5624.1900000000005</v>
      </c>
      <c r="N188" s="717">
        <f>$D188*G188*L_CBac!$J$68</f>
        <v>155.69230769230768</v>
      </c>
      <c r="O188" s="717">
        <f>$D188*H188*L_CBac!$J$68</f>
        <v>155.69230769230768</v>
      </c>
      <c r="P188" s="717">
        <f>$D188*I188*L_CBac!$J$68</f>
        <v>194.61538461538461</v>
      </c>
    </row>
    <row r="189" spans="1:16" s="183" customFormat="1" ht="14">
      <c r="A189" s="725" t="str">
        <f>L_CViec!A144</f>
        <v>24.2</v>
      </c>
      <c r="B189" s="281" t="str">
        <f>L_CViec!B144</f>
        <v>Quét trang A4</v>
      </c>
      <c r="C189" s="278" t="str">
        <f>L_CViec!AD144</f>
        <v>Trang</v>
      </c>
      <c r="D189" s="278">
        <f>L_CViec!AC144</f>
        <v>1</v>
      </c>
      <c r="E189" s="278" t="str">
        <f>L_CViec!AE144</f>
        <v>1KS1</v>
      </c>
      <c r="F189" s="418" t="str">
        <f>L_CViec!AF144</f>
        <v>1-3</v>
      </c>
      <c r="G189" s="278">
        <f>L_CViec!AG144</f>
        <v>8.0000000000000002E-3</v>
      </c>
      <c r="H189" s="282">
        <f>L_CViec!AH144</f>
        <v>8.0000000000000002E-3</v>
      </c>
      <c r="I189" s="282">
        <f>L_CViec!AI144</f>
        <v>0.01</v>
      </c>
      <c r="J189" s="717">
        <f>L_CViec!AJ144</f>
        <v>281209.5</v>
      </c>
      <c r="K189" s="280">
        <f t="shared" si="34"/>
        <v>2249.6759999999999</v>
      </c>
      <c r="L189" s="280">
        <f t="shared" si="35"/>
        <v>2249.6759999999999</v>
      </c>
      <c r="M189" s="280">
        <f t="shared" si="36"/>
        <v>2812.0950000000003</v>
      </c>
      <c r="N189" s="717">
        <f>$D189*G189*L_CBac!$J$68</f>
        <v>77.84615384615384</v>
      </c>
      <c r="O189" s="717">
        <f>$D189*H189*L_CBac!$J$68</f>
        <v>77.84615384615384</v>
      </c>
      <c r="P189" s="717">
        <f>$D189*I189*L_CBac!$J$68</f>
        <v>97.307692307692307</v>
      </c>
    </row>
    <row r="190" spans="1:16" s="50" customFormat="1" ht="26">
      <c r="A190" s="725" t="str">
        <f>L_CViec!A145</f>
        <v>25</v>
      </c>
      <c r="B190" s="281" t="str">
        <f>L_CViec!B145</f>
        <v>Xử lý các tệp tin quét thành tệp (File) hồ sơ quét dạng số của thửa đất, lưu trữ dưới khuôn dạng tệp tin PDF</v>
      </c>
      <c r="C190" s="278" t="str">
        <f>L_CViec!AD145</f>
        <v>Trang</v>
      </c>
      <c r="D190" s="278">
        <f>L_CViec!AC145</f>
        <v>1</v>
      </c>
      <c r="E190" s="278" t="str">
        <f>L_CViec!AE145</f>
        <v>1KS1</v>
      </c>
      <c r="F190" s="418" t="str">
        <f>L_CViec!AF145</f>
        <v>1-3</v>
      </c>
      <c r="G190" s="278">
        <f>L_CViec!AG145</f>
        <v>4.0000000000000001E-3</v>
      </c>
      <c r="H190" s="282">
        <f>L_CViec!AH145</f>
        <v>4.0000000000000001E-3</v>
      </c>
      <c r="I190" s="282">
        <f>L_CViec!AI145</f>
        <v>5.0000000000000001E-3</v>
      </c>
      <c r="J190" s="717">
        <f>L_CViec!AJ145</f>
        <v>281209.5</v>
      </c>
      <c r="K190" s="280">
        <f t="shared" si="34"/>
        <v>1124.838</v>
      </c>
      <c r="L190" s="280">
        <f t="shared" si="35"/>
        <v>1124.838</v>
      </c>
      <c r="M190" s="280">
        <f t="shared" si="36"/>
        <v>1406.0475000000001</v>
      </c>
      <c r="N190" s="717">
        <f>$D190*G190*L_CBac!$J$68</f>
        <v>38.92307692307692</v>
      </c>
      <c r="O190" s="717">
        <f>$D190*H190*L_CBac!$J$68</f>
        <v>38.92307692307692</v>
      </c>
      <c r="P190" s="717">
        <f>$D190*I190*L_CBac!$J$68</f>
        <v>48.653846153846153</v>
      </c>
    </row>
    <row r="191" spans="1:16" s="50" customFormat="1" ht="26">
      <c r="A191" s="725" t="str">
        <f>L_CViec!A146</f>
        <v>26</v>
      </c>
      <c r="B191" s="281" t="str">
        <f>L_CViec!B146</f>
        <v>Tạo liên kết hồ sơ quét dạng số với thửa đất trong cơ sở dữ liệu</v>
      </c>
      <c r="C191" s="278" t="str">
        <f>L_CViec!AD146</f>
        <v>Thửa</v>
      </c>
      <c r="D191" s="278">
        <f>L_CViec!AC146</f>
        <v>1</v>
      </c>
      <c r="E191" s="278" t="str">
        <f>L_CViec!AE146</f>
        <v>1KS1</v>
      </c>
      <c r="F191" s="418" t="str">
        <f>L_CViec!AF146</f>
        <v>1-3</v>
      </c>
      <c r="G191" s="278">
        <f>L_CViec!AG146</f>
        <v>0.01</v>
      </c>
      <c r="H191" s="282">
        <f>L_CViec!AH146</f>
        <v>0.01</v>
      </c>
      <c r="I191" s="282">
        <f>L_CViec!AI146</f>
        <v>1.2999999999999999E-2</v>
      </c>
      <c r="J191" s="717">
        <f>L_CViec!AJ146</f>
        <v>281209.5</v>
      </c>
      <c r="K191" s="280">
        <f t="shared" si="34"/>
        <v>2812.0950000000003</v>
      </c>
      <c r="L191" s="280">
        <f t="shared" si="35"/>
        <v>2812.0950000000003</v>
      </c>
      <c r="M191" s="280">
        <f t="shared" si="36"/>
        <v>3655.7235000000001</v>
      </c>
      <c r="N191" s="717">
        <f>$D191*G191*L_CBac!$J$68</f>
        <v>97.307692307692307</v>
      </c>
      <c r="O191" s="717">
        <f>$D191*H191*L_CBac!$J$68</f>
        <v>97.307692307692307</v>
      </c>
      <c r="P191" s="717">
        <f>$D191*I191*L_CBac!$J$68</f>
        <v>126.49999999999999</v>
      </c>
    </row>
    <row r="192" spans="1:16" s="66" customFormat="1" ht="39">
      <c r="A192" s="725" t="str">
        <f>L_CViec!A147</f>
        <v>27</v>
      </c>
      <c r="B192" s="281" t="str">
        <f>L_CViec!B147</f>
        <v>Chuyển Giấy chứng nhận đến Bộ phận một cửa để trao cho người sử dụng đất hoặc chuyển Giấy chứng nhận cho người sử dụng đất thông qua dịch vụ bưu chính công ích</v>
      </c>
      <c r="C192" s="278" t="str">
        <f>L_CViec!AD147</f>
        <v>Hồ sơ</v>
      </c>
      <c r="D192" s="278">
        <f>L_CViec!AC147</f>
        <v>1</v>
      </c>
      <c r="E192" s="278" t="str">
        <f>L_CViec!AE147</f>
        <v>1KS2</v>
      </c>
      <c r="F192" s="418" t="str">
        <f>L_CViec!AF147</f>
        <v>1-3</v>
      </c>
      <c r="G192" s="278">
        <f>L_CViec!AG147</f>
        <v>0.2</v>
      </c>
      <c r="H192" s="282">
        <f>L_CViec!AH147</f>
        <v>0.2</v>
      </c>
      <c r="I192" s="282">
        <f>L_CViec!AI147</f>
        <v>0.2</v>
      </c>
      <c r="J192" s="717">
        <f>L_CViec!AJ147</f>
        <v>320867.25</v>
      </c>
      <c r="K192" s="280">
        <f t="shared" si="34"/>
        <v>64173.450000000004</v>
      </c>
      <c r="L192" s="280">
        <f t="shared" si="35"/>
        <v>64173.450000000004</v>
      </c>
      <c r="M192" s="608">
        <f t="shared" si="36"/>
        <v>64173.450000000004</v>
      </c>
      <c r="N192" s="717">
        <f>$D192*G192*L_CBac!$J$68</f>
        <v>1946.1538461538462</v>
      </c>
      <c r="O192" s="717">
        <f>$D192*H192*L_CBac!$J$68</f>
        <v>1946.1538461538462</v>
      </c>
      <c r="P192" s="717">
        <f>$D192*I192*L_CBac!$J$68</f>
        <v>1946.1538461538462</v>
      </c>
    </row>
    <row r="193" spans="1:16" s="66" customFormat="1" ht="39">
      <c r="A193" s="725" t="str">
        <f>L_CViec!A148</f>
        <v>28</v>
      </c>
      <c r="B193" s="417" t="str">
        <f>L_CViec!B148</f>
        <v>Chuyển hồ sơ kèm theo bản sao Giấy chứng nhận đã cấp đến Văn phòng đăng ký đất đai để cập nhật, chỉnh lý hồ sơ địa chính, cơ sở dữ liệu đất đai.</v>
      </c>
      <c r="C193" s="278" t="str">
        <f>L_CViec!AD148</f>
        <v>Hồ sơ</v>
      </c>
      <c r="D193" s="278">
        <f>L_CViec!AC148</f>
        <v>1</v>
      </c>
      <c r="E193" s="278" t="str">
        <f>L_CViec!AE148</f>
        <v>1KS2</v>
      </c>
      <c r="F193" s="418" t="str">
        <f>L_CViec!AF148</f>
        <v>1-3</v>
      </c>
      <c r="G193" s="278">
        <f>L_CViec!AG148</f>
        <v>0.2</v>
      </c>
      <c r="H193" s="282">
        <f>L_CViec!AH148</f>
        <v>0.2</v>
      </c>
      <c r="I193" s="282">
        <f>L_CViec!AI148</f>
        <v>0.26</v>
      </c>
      <c r="J193" s="717">
        <f>L_CViec!AJ148</f>
        <v>320867.25</v>
      </c>
      <c r="K193" s="280">
        <f t="shared" si="34"/>
        <v>64173.450000000004</v>
      </c>
      <c r="L193" s="280">
        <f t="shared" si="35"/>
        <v>64173.450000000004</v>
      </c>
      <c r="M193" s="608">
        <f t="shared" si="36"/>
        <v>83425.485000000001</v>
      </c>
      <c r="N193" s="717">
        <f>$D193*G193*L_CBac!$J$68</f>
        <v>1946.1538461538462</v>
      </c>
      <c r="O193" s="717">
        <f>$D193*H193*L_CBac!$J$68</f>
        <v>1946.1538461538462</v>
      </c>
      <c r="P193" s="717">
        <f>$D193*I193*L_CBac!$J$68</f>
        <v>2530</v>
      </c>
    </row>
    <row r="194" spans="1:16" s="51" customFormat="1" ht="25.5" customHeight="1">
      <c r="A194" s="724" t="str">
        <f>L_CViec!A149</f>
        <v>II.2</v>
      </c>
      <c r="B194" s="408" t="str">
        <f>L_CViec!B149</f>
        <v>CÁC NỘI DUNG THỰC HIỆN TẠI ĐỊA BÀN CẤP TỈNH</v>
      </c>
      <c r="C194" s="408">
        <f>L_CViec!AD149</f>
        <v>0</v>
      </c>
      <c r="D194" s="408">
        <f>L_CViec!AC149</f>
        <v>0</v>
      </c>
      <c r="E194" s="408">
        <f>L_CViec!AE149</f>
        <v>0</v>
      </c>
      <c r="F194" s="408">
        <f>L_CViec!AF149</f>
        <v>0</v>
      </c>
      <c r="G194" s="408">
        <f>L_CViec!AG149</f>
        <v>0</v>
      </c>
      <c r="H194" s="481">
        <f>L_CViec!AH149</f>
        <v>0</v>
      </c>
      <c r="I194" s="481">
        <f>L_CViec!AI149</f>
        <v>0</v>
      </c>
      <c r="J194" s="718">
        <f>L_CViec!AJ149</f>
        <v>0</v>
      </c>
      <c r="K194" s="475">
        <f>K195</f>
        <v>72105</v>
      </c>
      <c r="L194" s="475">
        <f t="shared" ref="L194:P194" si="37">L195</f>
        <v>72105</v>
      </c>
      <c r="M194" s="475">
        <f t="shared" si="37"/>
        <v>93736.5</v>
      </c>
      <c r="N194" s="731">
        <f t="shared" si="37"/>
        <v>1946.1538461538462</v>
      </c>
      <c r="O194" s="731">
        <f t="shared" si="37"/>
        <v>1946.1538461538462</v>
      </c>
      <c r="P194" s="731">
        <f t="shared" si="37"/>
        <v>2530</v>
      </c>
    </row>
    <row r="195" spans="1:16" s="50" customFormat="1" ht="26">
      <c r="A195" s="726" t="str">
        <f>L_CViec!A150</f>
        <v>1</v>
      </c>
      <c r="B195" s="227" t="str">
        <f>L_CViec!B150</f>
        <v>Nhận bản thông báo cập nhật hồ sơ địa chính cấp huyện chuyển đến đối với những nơi chưa liên thông</v>
      </c>
      <c r="C195" s="226" t="str">
        <f>L_CViec!AD150</f>
        <v>Hồ sơ</v>
      </c>
      <c r="D195" s="226">
        <f>L_CViec!AC150</f>
        <v>1</v>
      </c>
      <c r="E195" s="226" t="str">
        <f>L_CViec!AE150</f>
        <v>1KS3</v>
      </c>
      <c r="F195" s="307" t="s">
        <v>31</v>
      </c>
      <c r="G195" s="226">
        <f>L_CViec!AG150</f>
        <v>0.2</v>
      </c>
      <c r="H195" s="283">
        <f>L_CViec!AH150</f>
        <v>0.2</v>
      </c>
      <c r="I195" s="283">
        <f>L_CViec!AI150</f>
        <v>0.26</v>
      </c>
      <c r="J195" s="718">
        <f>L_CViec!AJ150</f>
        <v>360525</v>
      </c>
      <c r="K195" s="127">
        <f>G195*$J195</f>
        <v>72105</v>
      </c>
      <c r="L195" s="127">
        <f>H195*$J195</f>
        <v>72105</v>
      </c>
      <c r="M195" s="608">
        <f>I195*$J195</f>
        <v>93736.5</v>
      </c>
      <c r="N195" s="717">
        <f>$D195*G195*L_CBac!$J$68</f>
        <v>1946.1538461538462</v>
      </c>
      <c r="O195" s="717">
        <f>$D195*H195*L_CBac!$J$68</f>
        <v>1946.1538461538462</v>
      </c>
      <c r="P195" s="717">
        <f>$D195*I195*L_CBac!$J$68</f>
        <v>2530</v>
      </c>
    </row>
    <row r="196" spans="1:16" s="50" customFormat="1" ht="24" customHeight="1">
      <c r="A196" s="470" t="str">
        <f>L_CViec!A151</f>
        <v>II.3</v>
      </c>
      <c r="B196" s="705" t="str">
        <f>L_CViec!B151</f>
        <v>GHI CHÚ</v>
      </c>
      <c r="C196" s="705">
        <f>L_CViec!AD151</f>
        <v>0</v>
      </c>
      <c r="D196" s="705"/>
      <c r="E196" s="705">
        <f>L_CViec!AE151</f>
        <v>0</v>
      </c>
      <c r="F196" s="705">
        <f>L_CViec!AF151</f>
        <v>0</v>
      </c>
      <c r="G196" s="705">
        <f>L_CViec!AG151</f>
        <v>0</v>
      </c>
      <c r="H196" s="732">
        <f>L_CViec!AH151</f>
        <v>0</v>
      </c>
      <c r="I196" s="732">
        <f>L_CViec!AI151</f>
        <v>0</v>
      </c>
      <c r="J196" s="717">
        <f>L_CViec!AJ151</f>
        <v>0</v>
      </c>
      <c r="K196" s="466"/>
      <c r="L196" s="466"/>
      <c r="M196" s="466"/>
      <c r="N196" s="731"/>
      <c r="O196" s="731"/>
      <c r="P196" s="731"/>
    </row>
    <row r="197" spans="1:16" s="50" customFormat="1">
      <c r="A197" s="49" t="str">
        <f>L_CViec!A152</f>
        <v>1</v>
      </c>
      <c r="B197" s="963" t="str">
        <f>L_CViec!B152</f>
        <v>(1) Cột “ĐM Đất” áp dụng cho trường hợp đăng ký, cấp GCN đối với đất; cột “ĐM Đất + TS” áp dụng đối với trường hợp đăng ký, cấp GCN đối với cả đất và tài sản gắn liền với đất.</v>
      </c>
      <c r="C197" s="963"/>
      <c r="D197" s="963"/>
      <c r="E197" s="963"/>
      <c r="F197" s="963"/>
      <c r="G197" s="963"/>
      <c r="H197" s="963"/>
      <c r="I197" s="963"/>
      <c r="J197" s="963"/>
      <c r="K197" s="963"/>
      <c r="L197" s="963"/>
      <c r="M197" s="963"/>
      <c r="N197" s="717"/>
      <c r="O197" s="717"/>
      <c r="P197" s="717"/>
    </row>
    <row r="198" spans="1:16" s="50" customFormat="1" ht="39" customHeight="1">
      <c r="A198" s="49" t="str">
        <f>L_CViec!A153</f>
        <v>2</v>
      </c>
      <c r="B198" s="963" t="str">
        <f>L_CViec!B153</f>
        <v>(2) Trường hợp nhiều thửa đất nông nghiệp lập chung trong 1 hồ sơ và cấp chung trong một GCN thì ngoài mức được tính ở trên, mỗi thửa đất tăng thêm được tính mức bằng 0,30 lần định mức quy định đối với Mục 2, 3, 4, 5, 6, 7, 10, 11, 12, 13, 15, 16, 17, 18, 19, 20, 21, 24, 25 và 28 các nội dung thực hiện tại địa bàn xã, phường, đặc khu; Mục 1, 2 các nội dung thực hiện tại tỉnh của Bảng này.</v>
      </c>
      <c r="C198" s="963"/>
      <c r="D198" s="963"/>
      <c r="E198" s="963"/>
      <c r="F198" s="963"/>
      <c r="G198" s="963"/>
      <c r="H198" s="963"/>
      <c r="I198" s="963"/>
      <c r="J198" s="963"/>
      <c r="K198" s="963"/>
      <c r="L198" s="963"/>
      <c r="M198" s="963"/>
      <c r="N198" s="717"/>
      <c r="O198" s="717"/>
      <c r="P198" s="717"/>
    </row>
    <row r="199" spans="1:16" s="50" customFormat="1" ht="33.65" customHeight="1">
      <c r="A199" s="49" t="str">
        <f>L_CViec!A154</f>
        <v>3</v>
      </c>
      <c r="B199" s="963" t="str">
        <f>L_CViec!B154</f>
        <v>(3) Đối với các hồ sơ không có nhu cầu hoặc không đủ điều kiện cấp GCN thì được tính định mức đối với Mục 1, 2, 3, 4, 5, 6, 7, 10, 11, 13 và 16 các nội dung thực hiện tại địa bàn xã, phường, đặc khu; Mục 1, 2, 3 các nội dung thực hiện tại địa bàn tỉnh của Bảng 7.</v>
      </c>
      <c r="C199" s="963"/>
      <c r="D199" s="963"/>
      <c r="E199" s="963"/>
      <c r="F199" s="963"/>
      <c r="G199" s="963"/>
      <c r="H199" s="963"/>
      <c r="I199" s="963"/>
      <c r="J199" s="963"/>
      <c r="K199" s="963"/>
      <c r="L199" s="963"/>
      <c r="M199" s="963"/>
      <c r="N199" s="717"/>
      <c r="O199" s="717"/>
      <c r="P199" s="717"/>
    </row>
    <row r="200" spans="1:16" s="50" customFormat="1" ht="33.65" customHeight="1">
      <c r="A200" s="49" t="str">
        <f>L_CViec!A155</f>
        <v>4</v>
      </c>
      <c r="B200" s="963" t="str">
        <f>L_CViec!B155</f>
        <v>(4) Trường hợp người sử dụng đất đã đăng ký đất đai theo quy định của pháp luật mà có nhu cầu và đủ điều kiện cấp GCN thì được tính định mức đối với Mục 2, 7, 12, 17, 18, 19, 20, 23, 24, 25 và 28 các nội dung thực hiện tại địa bàn xã, phường, đặc khu; Mục 1, 2, 3 các nội dung thực hiện tại địa bàn tỉnh của Bảng này.</v>
      </c>
      <c r="C200" s="963"/>
      <c r="D200" s="963"/>
      <c r="E200" s="963"/>
      <c r="F200" s="963"/>
      <c r="G200" s="963"/>
      <c r="H200" s="963"/>
      <c r="I200" s="963"/>
      <c r="J200" s="963"/>
      <c r="K200" s="963"/>
      <c r="L200" s="963"/>
      <c r="M200" s="963"/>
      <c r="N200" s="717"/>
      <c r="O200" s="717"/>
      <c r="P200" s="717"/>
    </row>
    <row r="201" spans="1:16" s="24" customFormat="1" ht="16.5" customHeight="1">
      <c r="A201" s="24" t="s">
        <v>302</v>
      </c>
      <c r="B201" s="733"/>
      <c r="C201" s="734"/>
      <c r="D201" s="734"/>
      <c r="E201" s="734"/>
      <c r="F201" s="734"/>
      <c r="G201" s="735"/>
      <c r="H201" s="736"/>
      <c r="I201" s="736"/>
      <c r="J201" s="743"/>
      <c r="K201" s="736"/>
      <c r="L201" s="737"/>
      <c r="M201" s="737"/>
      <c r="N201" s="738"/>
      <c r="O201" s="738"/>
      <c r="P201" s="738"/>
    </row>
    <row r="202" spans="1:16" s="23" customFormat="1" ht="15" customHeight="1">
      <c r="A202" s="961" t="s">
        <v>23</v>
      </c>
      <c r="B202" s="478" t="s">
        <v>44</v>
      </c>
      <c r="C202" s="944" t="s">
        <v>38</v>
      </c>
      <c r="D202" s="479"/>
      <c r="E202" s="944" t="s">
        <v>16</v>
      </c>
      <c r="F202" s="479" t="s">
        <v>96</v>
      </c>
      <c r="G202" s="943" t="s">
        <v>297</v>
      </c>
      <c r="H202" s="943"/>
      <c r="I202" s="943"/>
      <c r="J202" s="941" t="s">
        <v>309</v>
      </c>
      <c r="K202" s="943" t="s">
        <v>420</v>
      </c>
      <c r="L202" s="943"/>
      <c r="M202" s="943"/>
      <c r="N202" s="962" t="s">
        <v>313</v>
      </c>
      <c r="O202" s="962"/>
      <c r="P202" s="962"/>
    </row>
    <row r="203" spans="1:16" s="23" customFormat="1" ht="26">
      <c r="A203" s="961"/>
      <c r="B203" s="478"/>
      <c r="C203" s="944"/>
      <c r="D203" s="479"/>
      <c r="E203" s="944"/>
      <c r="F203" s="479" t="s">
        <v>24</v>
      </c>
      <c r="G203" s="480" t="s">
        <v>316</v>
      </c>
      <c r="H203" s="480" t="s">
        <v>315</v>
      </c>
      <c r="I203" s="480" t="s">
        <v>314</v>
      </c>
      <c r="J203" s="942"/>
      <c r="K203" s="480" t="s">
        <v>316</v>
      </c>
      <c r="L203" s="480" t="s">
        <v>315</v>
      </c>
      <c r="M203" s="480" t="s">
        <v>314</v>
      </c>
      <c r="N203" s="729" t="s">
        <v>316</v>
      </c>
      <c r="O203" s="729" t="s">
        <v>315</v>
      </c>
      <c r="P203" s="730" t="s">
        <v>314</v>
      </c>
    </row>
    <row r="204" spans="1:16" s="51" customFormat="1" ht="21" customHeight="1">
      <c r="A204" s="723" t="str">
        <f>L_CViec!A156</f>
        <v>III</v>
      </c>
      <c r="B204" s="972" t="str">
        <f>L_CViec!B156</f>
        <v>Đăng ký, cấp Giấy chứng nhận lần đầu đối với tổ chức, tổ chức tôn giáo, tổ chức tôn giáo trực thuộc đang sử dụng đất</v>
      </c>
      <c r="C204" s="972"/>
      <c r="D204" s="972"/>
      <c r="E204" s="972"/>
      <c r="F204" s="972"/>
      <c r="G204" s="972"/>
      <c r="H204" s="972"/>
      <c r="I204" s="972"/>
      <c r="J204" s="972"/>
      <c r="K204" s="475"/>
      <c r="L204" s="475"/>
      <c r="M204" s="475"/>
      <c r="N204" s="731"/>
      <c r="O204" s="731"/>
      <c r="P204" s="731"/>
    </row>
    <row r="205" spans="1:16" s="51" customFormat="1">
      <c r="A205" s="960" t="str">
        <f>L_CViec!A157</f>
        <v>III.1</v>
      </c>
      <c r="B205" s="914" t="str">
        <f>L_CViec!B157</f>
        <v>CÁC NỘI DUNG THỰC HIỆN TẠI ĐỊA BÀN XÃ, PHƯỜNG, ĐẶC KHU</v>
      </c>
      <c r="C205" s="408"/>
      <c r="D205" s="408"/>
      <c r="E205" s="223" t="s">
        <v>311</v>
      </c>
      <c r="F205" s="223">
        <v>1</v>
      </c>
      <c r="G205" s="223"/>
      <c r="H205" s="475"/>
      <c r="I205" s="475"/>
      <c r="J205" s="718">
        <f>L_CViec!AJ175</f>
        <v>0</v>
      </c>
      <c r="K205" s="475">
        <f>SUM(K213,K214,K215,K220,K226,K227,K218,K219)</f>
        <v>899098.87650000001</v>
      </c>
      <c r="L205" s="475">
        <f t="shared" ref="L205:P205" si="38">SUM(L213,L214,L215,L220,L226,L227,L218,L219)</f>
        <v>872420.02650000004</v>
      </c>
      <c r="M205" s="475">
        <f t="shared" si="38"/>
        <v>1167488.1075000002</v>
      </c>
      <c r="N205" s="475">
        <f t="shared" si="38"/>
        <v>27917.576923076922</v>
      </c>
      <c r="O205" s="475">
        <f t="shared" si="38"/>
        <v>27197.499999999996</v>
      </c>
      <c r="P205" s="475">
        <f t="shared" si="38"/>
        <v>36217.923076923078</v>
      </c>
    </row>
    <row r="206" spans="1:16" s="51" customFormat="1">
      <c r="A206" s="960"/>
      <c r="B206" s="914"/>
      <c r="C206" s="408"/>
      <c r="D206" s="408"/>
      <c r="E206" s="223" t="s">
        <v>197</v>
      </c>
      <c r="F206" s="223"/>
      <c r="G206" s="223"/>
      <c r="H206" s="475"/>
      <c r="I206" s="475"/>
      <c r="J206" s="718"/>
      <c r="K206" s="475">
        <f t="shared" ref="K206:P206" si="39">K221</f>
        <v>89242.81</v>
      </c>
      <c r="L206" s="475">
        <f t="shared" si="39"/>
        <v>89242.81</v>
      </c>
      <c r="M206" s="475">
        <f t="shared" si="39"/>
        <v>116015.65300000001</v>
      </c>
      <c r="N206" s="475">
        <f t="shared" si="39"/>
        <v>5741.1538461538457</v>
      </c>
      <c r="O206" s="475">
        <f t="shared" si="39"/>
        <v>5741.1538461538457</v>
      </c>
      <c r="P206" s="475">
        <f t="shared" si="39"/>
        <v>7463.5</v>
      </c>
    </row>
    <row r="207" spans="1:16" s="50" customFormat="1" ht="15" customHeight="1">
      <c r="A207" s="939"/>
      <c r="B207" s="914"/>
      <c r="C207" s="408"/>
      <c r="D207" s="408"/>
      <c r="E207" s="223" t="s">
        <v>311</v>
      </c>
      <c r="F207" s="223">
        <v>2</v>
      </c>
      <c r="G207" s="223"/>
      <c r="H207" s="475"/>
      <c r="I207" s="475"/>
      <c r="J207" s="718"/>
      <c r="K207" s="475">
        <f>SUM(K213,K214,K215,K222,K226,K227,K218,K219)</f>
        <v>960748.65150000004</v>
      </c>
      <c r="L207" s="475">
        <f t="shared" ref="L207:P207" si="40">SUM(L213,L214,L215,L222,L226,L227,L218,L219)</f>
        <v>934069.80150000006</v>
      </c>
      <c r="M207" s="475">
        <f t="shared" si="40"/>
        <v>1247632.8150000002</v>
      </c>
      <c r="N207" s="475">
        <f t="shared" si="40"/>
        <v>29863.73076923077</v>
      </c>
      <c r="O207" s="475">
        <f t="shared" si="40"/>
        <v>29143.653846153848</v>
      </c>
      <c r="P207" s="475">
        <f t="shared" si="40"/>
        <v>38747.923076923071</v>
      </c>
    </row>
    <row r="208" spans="1:16" s="50" customFormat="1" ht="15" customHeight="1">
      <c r="A208" s="939"/>
      <c r="B208" s="914"/>
      <c r="C208" s="408"/>
      <c r="D208" s="408"/>
      <c r="E208" s="223" t="s">
        <v>197</v>
      </c>
      <c r="F208" s="223"/>
      <c r="G208" s="223"/>
      <c r="H208" s="475"/>
      <c r="I208" s="475"/>
      <c r="J208" s="718"/>
      <c r="K208" s="475">
        <f t="shared" ref="K208:P208" si="41">K223</f>
        <v>98318.35</v>
      </c>
      <c r="L208" s="475">
        <f t="shared" si="41"/>
        <v>98318.35</v>
      </c>
      <c r="M208" s="475">
        <f t="shared" si="41"/>
        <v>127813.855</v>
      </c>
      <c r="N208" s="731">
        <f t="shared" si="41"/>
        <v>6325</v>
      </c>
      <c r="O208" s="731">
        <f t="shared" si="41"/>
        <v>6325</v>
      </c>
      <c r="P208" s="731">
        <f t="shared" si="41"/>
        <v>8222.5</v>
      </c>
    </row>
    <row r="209" spans="1:16" s="50" customFormat="1" ht="15" customHeight="1">
      <c r="A209" s="939"/>
      <c r="B209" s="914"/>
      <c r="C209" s="408"/>
      <c r="D209" s="408"/>
      <c r="E209" s="223" t="s">
        <v>311</v>
      </c>
      <c r="F209" s="223">
        <v>3</v>
      </c>
      <c r="G209" s="223"/>
      <c r="H209" s="475"/>
      <c r="I209" s="475"/>
      <c r="J209" s="718"/>
      <c r="K209" s="475">
        <f>SUM(K213,K214,K215,K224,K226,K227,K218,K219)</f>
        <v>1028563.404</v>
      </c>
      <c r="L209" s="475">
        <f t="shared" ref="L209:P209" si="42">SUM(L213,L214,L215,L224,L226,L227,L218,L219)</f>
        <v>1001884.554</v>
      </c>
      <c r="M209" s="475">
        <f t="shared" si="42"/>
        <v>1335791.9932500001</v>
      </c>
      <c r="N209" s="475">
        <f t="shared" si="42"/>
        <v>32004.499999999996</v>
      </c>
      <c r="O209" s="475">
        <f t="shared" si="42"/>
        <v>31284.423076923074</v>
      </c>
      <c r="P209" s="475">
        <f t="shared" si="42"/>
        <v>41530.923076923078</v>
      </c>
    </row>
    <row r="210" spans="1:16" s="50" customFormat="1" ht="15" customHeight="1">
      <c r="A210" s="724"/>
      <c r="B210" s="408"/>
      <c r="C210" s="408"/>
      <c r="D210" s="408"/>
      <c r="E210" s="223" t="s">
        <v>197</v>
      </c>
      <c r="F210" s="223"/>
      <c r="G210" s="223"/>
      <c r="H210" s="475"/>
      <c r="I210" s="475"/>
      <c r="J210" s="718"/>
      <c r="K210" s="475">
        <f t="shared" ref="K210:P210" si="43">K225</f>
        <v>107393.89</v>
      </c>
      <c r="L210" s="475">
        <f t="shared" si="43"/>
        <v>107393.89</v>
      </c>
      <c r="M210" s="475">
        <f t="shared" si="43"/>
        <v>139612.057</v>
      </c>
      <c r="N210" s="731">
        <f t="shared" si="43"/>
        <v>6908.8461538461534</v>
      </c>
      <c r="O210" s="731">
        <f t="shared" si="43"/>
        <v>6908.8461538461534</v>
      </c>
      <c r="P210" s="731">
        <f t="shared" si="43"/>
        <v>8981.5</v>
      </c>
    </row>
    <row r="211" spans="1:16" s="66" customFormat="1">
      <c r="A211" s="725" t="str">
        <f>L_CViec!A158</f>
        <v>1</v>
      </c>
      <c r="B211" s="279" t="str">
        <f>L_CViec!B158</f>
        <v>Hướng dẫn lập hồ sơ đề nghị đăng ký, cấp GCN</v>
      </c>
      <c r="C211" s="278">
        <f>L_CViec!AD158</f>
        <v>0</v>
      </c>
      <c r="D211" s="278">
        <f>L_CViec!AC158</f>
        <v>0</v>
      </c>
      <c r="E211" s="278">
        <f>L_CViec!AE158</f>
        <v>0</v>
      </c>
      <c r="F211" s="375">
        <f>L_CViec!AF158</f>
        <v>0</v>
      </c>
      <c r="G211" s="284">
        <f>L_CViec!AG158</f>
        <v>0</v>
      </c>
      <c r="H211" s="282">
        <f>L_CViec!AH158</f>
        <v>0</v>
      </c>
      <c r="I211" s="282">
        <f>L_CViec!AI158</f>
        <v>0</v>
      </c>
      <c r="J211" s="717">
        <f>L_CViec!AJ158</f>
        <v>0</v>
      </c>
      <c r="K211" s="280">
        <f t="shared" ref="K211:K227" si="44">G211*$J211</f>
        <v>0</v>
      </c>
      <c r="L211" s="280">
        <f t="shared" ref="L211:L227" si="45">H211*$J211</f>
        <v>0</v>
      </c>
      <c r="M211" s="280">
        <f t="shared" ref="M211:M227" si="46">I211*$J211</f>
        <v>0</v>
      </c>
      <c r="N211" s="717">
        <f>$D211*G211*L_CBac!$J$68</f>
        <v>0</v>
      </c>
      <c r="O211" s="717">
        <f>$D211*H211*L_CBac!$J$68</f>
        <v>0</v>
      </c>
      <c r="P211" s="717">
        <f>$D211*I211*L_CBac!$J$68</f>
        <v>0</v>
      </c>
    </row>
    <row r="212" spans="1:16" s="66" customFormat="1">
      <c r="A212" s="725" t="str">
        <f>L_CViec!A159</f>
        <v>1.1</v>
      </c>
      <c r="B212" s="279" t="str">
        <f>L_CViec!B159</f>
        <v>Theo hình thức trực tiếp</v>
      </c>
      <c r="C212" s="278" t="str">
        <f>L_CViec!AD159</f>
        <v>Hồ sơ</v>
      </c>
      <c r="D212" s="278">
        <f>L_CViec!AC159</f>
        <v>1</v>
      </c>
      <c r="E212" s="278" t="str">
        <f>L_CViec!AE159</f>
        <v>1KS2</v>
      </c>
      <c r="F212" s="375" t="str">
        <f>L_CViec!AF159</f>
        <v>1-3</v>
      </c>
      <c r="G212" s="284">
        <f>L_CViec!AG159</f>
        <v>0.2</v>
      </c>
      <c r="H212" s="282">
        <f>L_CViec!AH159</f>
        <v>0.2</v>
      </c>
      <c r="I212" s="282">
        <f>L_CViec!AI159</f>
        <v>0.26</v>
      </c>
      <c r="J212" s="717">
        <f>L_CViec!AJ159</f>
        <v>320867.25</v>
      </c>
      <c r="K212" s="280">
        <f t="shared" si="44"/>
        <v>64173.450000000004</v>
      </c>
      <c r="L212" s="280">
        <f t="shared" si="45"/>
        <v>64173.450000000004</v>
      </c>
      <c r="M212" s="280">
        <f t="shared" si="46"/>
        <v>83425.485000000001</v>
      </c>
      <c r="N212" s="717">
        <f>$D212*G212*L_CBac!$J$68</f>
        <v>1946.1538461538462</v>
      </c>
      <c r="O212" s="717">
        <f>$D212*H212*L_CBac!$J$68</f>
        <v>1946.1538461538462</v>
      </c>
      <c r="P212" s="717">
        <f>$D212*I212*L_CBac!$J$68</f>
        <v>2530</v>
      </c>
    </row>
    <row r="213" spans="1:16" s="66" customFormat="1">
      <c r="A213" s="725" t="str">
        <f>L_CViec!A160</f>
        <v>1.2</v>
      </c>
      <c r="B213" s="279" t="str">
        <f>L_CViec!B160</f>
        <v>Theo hình thức trực tuyến</v>
      </c>
      <c r="C213" s="278" t="str">
        <f>L_CViec!AD160</f>
        <v>Hồ sơ</v>
      </c>
      <c r="D213" s="278">
        <f>L_CViec!AC160</f>
        <v>1</v>
      </c>
      <c r="E213" s="278" t="str">
        <f>L_CViec!AE160</f>
        <v>1KS2</v>
      </c>
      <c r="F213" s="375" t="str">
        <f>L_CViec!AF160</f>
        <v>1-3</v>
      </c>
      <c r="G213" s="284">
        <f>L_CViec!AG160</f>
        <v>0.15</v>
      </c>
      <c r="H213" s="282">
        <f>L_CViec!AH160</f>
        <v>0.15</v>
      </c>
      <c r="I213" s="282">
        <f>L_CViec!AI160</f>
        <v>0.19</v>
      </c>
      <c r="J213" s="717">
        <f>L_CViec!AJ160</f>
        <v>320867.25</v>
      </c>
      <c r="K213" s="280">
        <f t="shared" si="44"/>
        <v>48130.087500000001</v>
      </c>
      <c r="L213" s="280">
        <f t="shared" si="45"/>
        <v>48130.087500000001</v>
      </c>
      <c r="M213" s="608">
        <f t="shared" si="46"/>
        <v>60964.777500000004</v>
      </c>
      <c r="N213" s="717">
        <f>$D213*G213*L_CBac!$J$68</f>
        <v>1459.6153846153845</v>
      </c>
      <c r="O213" s="717">
        <f>$D213*H213*L_CBac!$J$68</f>
        <v>1459.6153846153845</v>
      </c>
      <c r="P213" s="717">
        <f>$D213*I213*L_CBac!$J$68</f>
        <v>1848.8461538461538</v>
      </c>
    </row>
    <row r="214" spans="1:16" s="66" customFormat="1" ht="39">
      <c r="A214" s="725" t="str">
        <f>L_CViec!A161</f>
        <v>2</v>
      </c>
      <c r="B214" s="279" t="str">
        <f>L_CViec!B161</f>
        <v>Nhận, kiểm tra tính đầy đủ của thành phần hồ sơ và cấp Giấy tiếp nhận hồ sơ và hẹn trả kết quả hoặc trả lại hồ sơ, vào sổ theo dõi nhận, trả hồ sơ (theo hình thức trực tiếp, trực tuyến)</v>
      </c>
      <c r="C214" s="278" t="str">
        <f>L_CViec!AD161</f>
        <v>Hồ sơ</v>
      </c>
      <c r="D214" s="278">
        <f>L_CViec!AC161</f>
        <v>1</v>
      </c>
      <c r="E214" s="278" t="str">
        <f>L_CViec!AE161</f>
        <v>1KS2</v>
      </c>
      <c r="F214" s="375" t="str">
        <f>L_CViec!AF161</f>
        <v>1-3</v>
      </c>
      <c r="G214" s="284">
        <f>L_CViec!AG161</f>
        <v>0.5</v>
      </c>
      <c r="H214" s="282">
        <f>L_CViec!AH161</f>
        <v>0.5</v>
      </c>
      <c r="I214" s="282">
        <f>L_CViec!AI161</f>
        <v>0.65</v>
      </c>
      <c r="J214" s="717">
        <f>L_CViec!AJ161</f>
        <v>320867.25</v>
      </c>
      <c r="K214" s="280">
        <f t="shared" si="44"/>
        <v>160433.625</v>
      </c>
      <c r="L214" s="280">
        <f t="shared" si="45"/>
        <v>160433.625</v>
      </c>
      <c r="M214" s="608">
        <f t="shared" si="46"/>
        <v>208563.71249999999</v>
      </c>
      <c r="N214" s="717">
        <f>$D214*G214*L_CBac!$J$68</f>
        <v>4865.3846153846152</v>
      </c>
      <c r="O214" s="717">
        <f>$D214*H214*L_CBac!$J$68</f>
        <v>4865.3846153846152</v>
      </c>
      <c r="P214" s="717">
        <f>$D214*I214*L_CBac!$J$68</f>
        <v>6325</v>
      </c>
    </row>
    <row r="215" spans="1:16" s="66" customFormat="1" ht="26">
      <c r="A215" s="725" t="str">
        <f>L_CViec!A162</f>
        <v>3</v>
      </c>
      <c r="B215" s="279" t="str">
        <f>L_CViec!B162</f>
        <v>Tạo tệp (File) dữ liệu hồ sơ số và nhập thông tin do người sử dụng đất, quản lý đất kê khai, đăng ký</v>
      </c>
      <c r="C215" s="278" t="str">
        <f>L_CViec!AD162</f>
        <v>Thửa</v>
      </c>
      <c r="D215" s="278">
        <f>L_CViec!AC162</f>
        <v>1</v>
      </c>
      <c r="E215" s="278" t="str">
        <f>L_CViec!AE162</f>
        <v>1KS3</v>
      </c>
      <c r="F215" s="375" t="str">
        <f>L_CViec!AF162</f>
        <v>1-3</v>
      </c>
      <c r="G215" s="284">
        <f>L_CViec!AG162</f>
        <v>0.107</v>
      </c>
      <c r="H215" s="282">
        <f>L_CViec!AH162</f>
        <v>3.3000000000000002E-2</v>
      </c>
      <c r="I215" s="282">
        <f>L_CViec!AI162</f>
        <v>0.16700000000000001</v>
      </c>
      <c r="J215" s="717">
        <f>L_CViec!AJ162</f>
        <v>360525</v>
      </c>
      <c r="K215" s="280">
        <f t="shared" si="44"/>
        <v>38576.174999999996</v>
      </c>
      <c r="L215" s="280">
        <f t="shared" si="45"/>
        <v>11897.325000000001</v>
      </c>
      <c r="M215" s="608">
        <f t="shared" si="46"/>
        <v>60207.675000000003</v>
      </c>
      <c r="N215" s="717">
        <f>$D215*G215*L_CBac!$J$68</f>
        <v>1041.1923076923076</v>
      </c>
      <c r="O215" s="717">
        <f>$D215*H215*L_CBac!$J$68</f>
        <v>321.11538461538464</v>
      </c>
      <c r="P215" s="717">
        <f>$D215*I215*L_CBac!$J$68</f>
        <v>1625.0384615384617</v>
      </c>
    </row>
    <row r="216" spans="1:16" s="66" customFormat="1" ht="26">
      <c r="A216" s="725" t="str">
        <f>L_CViec!A163</f>
        <v>4</v>
      </c>
      <c r="B216" s="279" t="str">
        <f>L_CViec!B163</f>
        <v>Quét giấy tờ pháp lý về quyền sử dụng đất, quyền sở hữu nhà ở và tài sản khác gắn liền với đất</v>
      </c>
      <c r="C216" s="278">
        <f>L_CViec!AD163</f>
        <v>0</v>
      </c>
      <c r="D216" s="278">
        <f>L_CViec!AC163</f>
        <v>0</v>
      </c>
      <c r="E216" s="278">
        <f>L_CViec!AE163</f>
        <v>0</v>
      </c>
      <c r="F216" s="375">
        <f>L_CViec!AF163</f>
        <v>0</v>
      </c>
      <c r="G216" s="284">
        <f>L_CViec!AG163</f>
        <v>0</v>
      </c>
      <c r="H216" s="282">
        <f>L_CViec!AH163</f>
        <v>0</v>
      </c>
      <c r="I216" s="282">
        <f>L_CViec!AI163</f>
        <v>0</v>
      </c>
      <c r="J216" s="717">
        <f>L_CViec!AJ163</f>
        <v>0</v>
      </c>
      <c r="K216" s="280"/>
      <c r="L216" s="280">
        <f t="shared" si="45"/>
        <v>0</v>
      </c>
      <c r="M216" s="280">
        <f t="shared" si="46"/>
        <v>0</v>
      </c>
      <c r="N216" s="717">
        <f>$D216*G216*L_CBac!$J$68</f>
        <v>0</v>
      </c>
      <c r="O216" s="717">
        <f>$D216*H216*L_CBac!$J$68</f>
        <v>0</v>
      </c>
      <c r="P216" s="717">
        <f>$D216*I216*L_CBac!$J$68</f>
        <v>0</v>
      </c>
    </row>
    <row r="217" spans="1:16" s="66" customFormat="1">
      <c r="A217" s="725" t="str">
        <f>L_CViec!A164</f>
        <v>4.1</v>
      </c>
      <c r="B217" s="279" t="str">
        <f>L_CViec!B164</f>
        <v>Quét trang A3</v>
      </c>
      <c r="C217" s="278" t="str">
        <f>L_CViec!AD164</f>
        <v>Trang</v>
      </c>
      <c r="D217" s="278">
        <f>L_CViec!AC164</f>
        <v>1</v>
      </c>
      <c r="E217" s="278" t="str">
        <f>L_CViec!AE164</f>
        <v>1KS1</v>
      </c>
      <c r="F217" s="375" t="str">
        <f>L_CViec!AF164</f>
        <v>1-3</v>
      </c>
      <c r="G217" s="284">
        <f>L_CViec!AG164</f>
        <v>1.6E-2</v>
      </c>
      <c r="H217" s="282">
        <f>L_CViec!AH164</f>
        <v>1.6E-2</v>
      </c>
      <c r="I217" s="282">
        <f>L_CViec!AI164</f>
        <v>0.02</v>
      </c>
      <c r="J217" s="717">
        <f>L_CViec!AJ164</f>
        <v>281209.5</v>
      </c>
      <c r="K217" s="280">
        <f t="shared" si="44"/>
        <v>4499.3519999999999</v>
      </c>
      <c r="L217" s="280">
        <f t="shared" si="45"/>
        <v>4499.3519999999999</v>
      </c>
      <c r="M217" s="280">
        <f t="shared" si="46"/>
        <v>5624.1900000000005</v>
      </c>
      <c r="N217" s="717">
        <f>$D217*G217*L_CBac!$J$68</f>
        <v>155.69230769230768</v>
      </c>
      <c r="O217" s="717">
        <f>$D217*H217*L_CBac!$J$68</f>
        <v>155.69230769230768</v>
      </c>
      <c r="P217" s="717">
        <f>$D217*I217*L_CBac!$J$68</f>
        <v>194.61538461538461</v>
      </c>
    </row>
    <row r="218" spans="1:16" s="66" customFormat="1">
      <c r="A218" s="725" t="str">
        <f>L_CViec!A165</f>
        <v>4.2</v>
      </c>
      <c r="B218" s="279" t="str">
        <f>L_CViec!B165</f>
        <v>Quét trang A4</v>
      </c>
      <c r="C218" s="278" t="str">
        <f>L_CViec!AD165</f>
        <v>Trang</v>
      </c>
      <c r="D218" s="278">
        <f>L_CViec!AC165</f>
        <v>1</v>
      </c>
      <c r="E218" s="278" t="str">
        <f>L_CViec!AE165</f>
        <v>1KS1</v>
      </c>
      <c r="F218" s="375" t="str">
        <f>L_CViec!AF165</f>
        <v>1-3</v>
      </c>
      <c r="G218" s="284">
        <f>L_CViec!AG165</f>
        <v>8.0000000000000002E-3</v>
      </c>
      <c r="H218" s="282">
        <f>L_CViec!AH165</f>
        <v>8.0000000000000002E-3</v>
      </c>
      <c r="I218" s="282">
        <f>L_CViec!AI165</f>
        <v>0.01</v>
      </c>
      <c r="J218" s="717">
        <f>L_CViec!AJ165</f>
        <v>281209.5</v>
      </c>
      <c r="K218" s="280">
        <f t="shared" si="44"/>
        <v>2249.6759999999999</v>
      </c>
      <c r="L218" s="280">
        <f t="shared" si="45"/>
        <v>2249.6759999999999</v>
      </c>
      <c r="M218" s="280">
        <f t="shared" si="46"/>
        <v>2812.0950000000003</v>
      </c>
      <c r="N218" s="717">
        <f>$D218*G218*L_CBac!$J$68</f>
        <v>77.84615384615384</v>
      </c>
      <c r="O218" s="717">
        <f>$D218*H218*L_CBac!$J$68</f>
        <v>77.84615384615384</v>
      </c>
      <c r="P218" s="717">
        <f>$D218*I218*L_CBac!$J$68</f>
        <v>97.307692307692307</v>
      </c>
    </row>
    <row r="219" spans="1:16" s="66" customFormat="1" ht="26">
      <c r="A219" s="725" t="str">
        <f>L_CViec!A166</f>
        <v>5</v>
      </c>
      <c r="B219" s="279" t="str">
        <f>L_CViec!B166</f>
        <v>Xử lý các tệp tin quét thành tệp (File) hồ sơ quét dạng số của thửa đất, lưu trữ dưới khuôn dạng tệp tin PDF</v>
      </c>
      <c r="C219" s="278" t="str">
        <f>L_CViec!AD166</f>
        <v>Trang</v>
      </c>
      <c r="D219" s="278">
        <f>L_CViec!AC166</f>
        <v>1</v>
      </c>
      <c r="E219" s="278" t="str">
        <f>L_CViec!AE166</f>
        <v>1KS1</v>
      </c>
      <c r="F219" s="375" t="str">
        <f>L_CViec!AF166</f>
        <v>1-3</v>
      </c>
      <c r="G219" s="284">
        <f>L_CViec!AG166</f>
        <v>4.0000000000000001E-3</v>
      </c>
      <c r="H219" s="282">
        <f>L_CViec!AH166</f>
        <v>4.0000000000000001E-3</v>
      </c>
      <c r="I219" s="282">
        <f>L_CViec!AI166</f>
        <v>5.0000000000000001E-3</v>
      </c>
      <c r="J219" s="717">
        <f>L_CViec!AJ166</f>
        <v>281209.5</v>
      </c>
      <c r="K219" s="280">
        <f t="shared" si="44"/>
        <v>1124.838</v>
      </c>
      <c r="L219" s="280">
        <f t="shared" si="45"/>
        <v>1124.838</v>
      </c>
      <c r="M219" s="280">
        <f t="shared" si="46"/>
        <v>1406.0475000000001</v>
      </c>
      <c r="N219" s="717">
        <f>$D219*G219*L_CBac!$J$68</f>
        <v>38.92307692307692</v>
      </c>
      <c r="O219" s="717">
        <f>$D219*H219*L_CBac!$J$68</f>
        <v>38.92307692307692</v>
      </c>
      <c r="P219" s="717">
        <f>$D219*I219*L_CBac!$J$68</f>
        <v>48.653846153846153</v>
      </c>
    </row>
    <row r="220" spans="1:16" s="66" customFormat="1" ht="52">
      <c r="A220" s="725" t="str">
        <f>L_CViec!A167</f>
        <v>6</v>
      </c>
      <c r="B220" s="279" t="str">
        <f>L_CViec!B167</f>
        <v>Kiểm tra xác minh thực địa với hồ sơ đề nghị đăng ký, cấp GCN, xác nhận sơ đồ tài sản trong trường hợp chưa có xác nhận của cơ quan có tư cách pháp nhân hành nghề về đo đạc, xây dựng</v>
      </c>
      <c r="C220" s="278" t="str">
        <f>L_CViec!AD167</f>
        <v>Hồ sơ</v>
      </c>
      <c r="D220" s="278">
        <f>L_CViec!AC167</f>
        <v>2</v>
      </c>
      <c r="E220" s="278" t="str">
        <f>L_CViec!AE167</f>
        <v>1KS2,1KTV4</v>
      </c>
      <c r="F220" s="375" t="str">
        <f>L_CViec!AF167</f>
        <v>1</v>
      </c>
      <c r="G220" s="284">
        <f>L_CViec!AG167</f>
        <v>1</v>
      </c>
      <c r="H220" s="282">
        <f>L_CViec!AH167</f>
        <v>1</v>
      </c>
      <c r="I220" s="282">
        <f>L_CViec!AI167</f>
        <v>1.3</v>
      </c>
      <c r="J220" s="717">
        <f>L_CViec!AJ167</f>
        <v>616497.75</v>
      </c>
      <c r="K220" s="280">
        <f t="shared" si="44"/>
        <v>616497.75</v>
      </c>
      <c r="L220" s="280">
        <f t="shared" si="45"/>
        <v>616497.75</v>
      </c>
      <c r="M220" s="608">
        <f t="shared" si="46"/>
        <v>801447.07500000007</v>
      </c>
      <c r="N220" s="717">
        <f>$D220*G220*L_CBac!$J$68</f>
        <v>19461.538461538461</v>
      </c>
      <c r="O220" s="717">
        <f>$D220*H220*L_CBac!$J$68</f>
        <v>19461.538461538461</v>
      </c>
      <c r="P220" s="717">
        <f>$D220*I220*L_CBac!$J$68</f>
        <v>25300</v>
      </c>
    </row>
    <row r="221" spans="1:16" s="66" customFormat="1">
      <c r="A221" s="725">
        <f>L_CViec!A168</f>
        <v>0</v>
      </c>
      <c r="B221" s="279">
        <f>L_CViec!B168</f>
        <v>0</v>
      </c>
      <c r="C221" s="278">
        <f>L_CViec!AD168</f>
        <v>0</v>
      </c>
      <c r="D221" s="278">
        <f>L_CViec!AC168</f>
        <v>1</v>
      </c>
      <c r="E221" s="278">
        <f>L_CViec!AE168</f>
        <v>0</v>
      </c>
      <c r="F221" s="375">
        <f>L_CViec!AF168</f>
        <v>0</v>
      </c>
      <c r="G221" s="284">
        <f>L_CViec!AG168</f>
        <v>0.59</v>
      </c>
      <c r="H221" s="282">
        <f>L_CViec!AH168</f>
        <v>0.59</v>
      </c>
      <c r="I221" s="282">
        <f>L_CViec!AI168</f>
        <v>0.76700000000000002</v>
      </c>
      <c r="J221" s="717">
        <f>L_CViec!AJ168</f>
        <v>151259</v>
      </c>
      <c r="K221" s="280">
        <f t="shared" si="44"/>
        <v>89242.81</v>
      </c>
      <c r="L221" s="280">
        <f t="shared" si="45"/>
        <v>89242.81</v>
      </c>
      <c r="M221" s="280">
        <f t="shared" si="46"/>
        <v>116015.65300000001</v>
      </c>
      <c r="N221" s="717">
        <f>$D221*G221*L_CBac!$J$68</f>
        <v>5741.1538461538457</v>
      </c>
      <c r="O221" s="717">
        <f>$D221*H221*L_CBac!$J$68</f>
        <v>5741.1538461538457</v>
      </c>
      <c r="P221" s="717">
        <f>$D221*I221*L_CBac!$J$68</f>
        <v>7463.5</v>
      </c>
    </row>
    <row r="222" spans="1:16" s="66" customFormat="1">
      <c r="A222" s="725">
        <f>L_CViec!A169</f>
        <v>0</v>
      </c>
      <c r="B222" s="279">
        <f>L_CViec!B169</f>
        <v>0</v>
      </c>
      <c r="C222" s="278">
        <f>L_CViec!AD169</f>
        <v>0</v>
      </c>
      <c r="D222" s="278">
        <f>L_CViec!AC169</f>
        <v>2</v>
      </c>
      <c r="E222" s="278">
        <f>L_CViec!AE169</f>
        <v>0</v>
      </c>
      <c r="F222" s="375">
        <f>L_CViec!AF169</f>
        <v>2</v>
      </c>
      <c r="G222" s="284">
        <f>L_CViec!AG169</f>
        <v>1.1000000000000001</v>
      </c>
      <c r="H222" s="282">
        <f>L_CViec!AH169</f>
        <v>1.1000000000000001</v>
      </c>
      <c r="I222" s="282">
        <f>L_CViec!AI169</f>
        <v>1.43</v>
      </c>
      <c r="J222" s="717">
        <f>L_CViec!AJ169</f>
        <v>616497.75</v>
      </c>
      <c r="K222" s="280">
        <f t="shared" si="44"/>
        <v>678147.52500000002</v>
      </c>
      <c r="L222" s="280">
        <f t="shared" si="45"/>
        <v>678147.52500000002</v>
      </c>
      <c r="M222" s="624">
        <f t="shared" si="46"/>
        <v>881591.78249999997</v>
      </c>
      <c r="N222" s="717">
        <f>$D222*G222*L_CBac!$J$68</f>
        <v>21407.692307692309</v>
      </c>
      <c r="O222" s="717">
        <f>$D222*H222*L_CBac!$J$68</f>
        <v>21407.692307692309</v>
      </c>
      <c r="P222" s="717">
        <f>$D222*I222*L_CBac!$J$68</f>
        <v>27829.999999999996</v>
      </c>
    </row>
    <row r="223" spans="1:16" s="66" customFormat="1">
      <c r="A223" s="725">
        <f>L_CViec!A170</f>
        <v>0</v>
      </c>
      <c r="B223" s="279">
        <f>L_CViec!B170</f>
        <v>0</v>
      </c>
      <c r="C223" s="278">
        <f>L_CViec!AD170</f>
        <v>0</v>
      </c>
      <c r="D223" s="278">
        <f>L_CViec!AC170</f>
        <v>1</v>
      </c>
      <c r="E223" s="278">
        <f>L_CViec!AE170</f>
        <v>0</v>
      </c>
      <c r="F223" s="375">
        <f>L_CViec!AF170</f>
        <v>0</v>
      </c>
      <c r="G223" s="284">
        <f>L_CViec!AG170</f>
        <v>0.65</v>
      </c>
      <c r="H223" s="282">
        <f>L_CViec!AH170</f>
        <v>0.65</v>
      </c>
      <c r="I223" s="282">
        <f>L_CViec!AI170</f>
        <v>0.84499999999999997</v>
      </c>
      <c r="J223" s="717">
        <f>L_CViec!AJ170</f>
        <v>151259</v>
      </c>
      <c r="K223" s="280">
        <f t="shared" si="44"/>
        <v>98318.35</v>
      </c>
      <c r="L223" s="280">
        <f t="shared" si="45"/>
        <v>98318.35</v>
      </c>
      <c r="M223" s="280">
        <f t="shared" si="46"/>
        <v>127813.855</v>
      </c>
      <c r="N223" s="717">
        <f>$D223*G223*L_CBac!$J$68</f>
        <v>6325</v>
      </c>
      <c r="O223" s="717">
        <f>$D223*H223*L_CBac!$J$68</f>
        <v>6325</v>
      </c>
      <c r="P223" s="717">
        <f>$D223*I223*L_CBac!$J$68</f>
        <v>8222.5</v>
      </c>
    </row>
    <row r="224" spans="1:16" s="66" customFormat="1">
      <c r="A224" s="725">
        <f>L_CViec!A171</f>
        <v>0</v>
      </c>
      <c r="B224" s="279">
        <f>L_CViec!B171</f>
        <v>0</v>
      </c>
      <c r="C224" s="278">
        <f>L_CViec!AD171</f>
        <v>0</v>
      </c>
      <c r="D224" s="278">
        <f>L_CViec!AC171</f>
        <v>2</v>
      </c>
      <c r="E224" s="278">
        <f>L_CViec!AE171</f>
        <v>0</v>
      </c>
      <c r="F224" s="375" t="str">
        <f>L_CViec!AF171</f>
        <v>3</v>
      </c>
      <c r="G224" s="284">
        <f>L_CViec!AG171</f>
        <v>1.21</v>
      </c>
      <c r="H224" s="282">
        <f>L_CViec!AH171</f>
        <v>1.21</v>
      </c>
      <c r="I224" s="282">
        <f>L_CViec!AI171</f>
        <v>1.573</v>
      </c>
      <c r="J224" s="717">
        <f>L_CViec!AJ171</f>
        <v>616497.75</v>
      </c>
      <c r="K224" s="280">
        <f t="shared" si="44"/>
        <v>745962.27749999997</v>
      </c>
      <c r="L224" s="280">
        <f t="shared" si="45"/>
        <v>745962.27749999997</v>
      </c>
      <c r="M224" s="626">
        <f t="shared" si="46"/>
        <v>969750.96074999997</v>
      </c>
      <c r="N224" s="717">
        <f>$D224*G224*L_CBac!$J$68</f>
        <v>23548.461538461535</v>
      </c>
      <c r="O224" s="717">
        <f>$D224*H224*L_CBac!$J$68</f>
        <v>23548.461538461535</v>
      </c>
      <c r="P224" s="717">
        <f>$D224*I224*L_CBac!$J$68</f>
        <v>30613</v>
      </c>
    </row>
    <row r="225" spans="1:16" s="66" customFormat="1">
      <c r="A225" s="725">
        <f>L_CViec!A172</f>
        <v>0</v>
      </c>
      <c r="B225" s="279">
        <f>L_CViec!B172</f>
        <v>0</v>
      </c>
      <c r="C225" s="278">
        <f>L_CViec!AD172</f>
        <v>0</v>
      </c>
      <c r="D225" s="278">
        <f>L_CViec!AC172</f>
        <v>1</v>
      </c>
      <c r="E225" s="278">
        <f>L_CViec!AE172</f>
        <v>0</v>
      </c>
      <c r="F225" s="375">
        <f>L_CViec!AF172</f>
        <v>0</v>
      </c>
      <c r="G225" s="284">
        <f>L_CViec!AG172</f>
        <v>0.71</v>
      </c>
      <c r="H225" s="282">
        <f>L_CViec!AH172</f>
        <v>0.71</v>
      </c>
      <c r="I225" s="282">
        <f>L_CViec!AI172</f>
        <v>0.92300000000000004</v>
      </c>
      <c r="J225" s="717">
        <f>L_CViec!AJ172</f>
        <v>151259</v>
      </c>
      <c r="K225" s="280">
        <f t="shared" si="44"/>
        <v>107393.89</v>
      </c>
      <c r="L225" s="280">
        <f t="shared" si="45"/>
        <v>107393.89</v>
      </c>
      <c r="M225" s="280">
        <f t="shared" si="46"/>
        <v>139612.057</v>
      </c>
      <c r="N225" s="717">
        <f>$D225*G225*L_CBac!$J$68</f>
        <v>6908.8461538461534</v>
      </c>
      <c r="O225" s="717">
        <f>$D225*H225*L_CBac!$J$68</f>
        <v>6908.8461538461534</v>
      </c>
      <c r="P225" s="717">
        <f>$D225*I225*L_CBac!$J$68</f>
        <v>8981.5</v>
      </c>
    </row>
    <row r="226" spans="1:16" s="66" customFormat="1" ht="26">
      <c r="A226" s="725" t="str">
        <f>L_CViec!A173</f>
        <v>7</v>
      </c>
      <c r="B226" s="279" t="str">
        <f>L_CViec!B173</f>
        <v>Lập biên bản kiểm tra việc sử dụng đất, ranh giới sử dụng đất của tổ chức</v>
      </c>
      <c r="C226" s="278" t="str">
        <f>L_CViec!AD173</f>
        <v>Hồ sơ</v>
      </c>
      <c r="D226" s="278">
        <f>L_CViec!AC173</f>
        <v>1</v>
      </c>
      <c r="E226" s="278" t="str">
        <f>L_CViec!AE173</f>
        <v>1KS2</v>
      </c>
      <c r="F226" s="375" t="str">
        <f>L_CViec!AF173</f>
        <v>1-3</v>
      </c>
      <c r="G226" s="284">
        <f>L_CViec!AG173</f>
        <v>0.05</v>
      </c>
      <c r="H226" s="282">
        <f>L_CViec!AH173</f>
        <v>0.05</v>
      </c>
      <c r="I226" s="282">
        <f>L_CViec!AI173</f>
        <v>0.05</v>
      </c>
      <c r="J226" s="717">
        <f>L_CViec!AJ173</f>
        <v>320867.25</v>
      </c>
      <c r="K226" s="280">
        <f t="shared" si="44"/>
        <v>16043.362500000001</v>
      </c>
      <c r="L226" s="280">
        <f t="shared" si="45"/>
        <v>16043.362500000001</v>
      </c>
      <c r="M226" s="608">
        <f t="shared" si="46"/>
        <v>16043.362500000001</v>
      </c>
      <c r="N226" s="717">
        <f>$D226*G226*L_CBac!$J$68</f>
        <v>486.53846153846155</v>
      </c>
      <c r="O226" s="717">
        <f>$D226*H226*L_CBac!$J$68</f>
        <v>486.53846153846155</v>
      </c>
      <c r="P226" s="717">
        <f>$D226*I226*L_CBac!$J$68</f>
        <v>486.53846153846155</v>
      </c>
    </row>
    <row r="227" spans="1:16" s="66" customFormat="1" ht="26">
      <c r="A227" s="725">
        <f>L_CViec!A174</f>
        <v>8</v>
      </c>
      <c r="B227" s="279" t="str">
        <f>L_CViec!B174</f>
        <v>Chuyển toàn bộ hồ sơ đến cơ quan có chức năng quản lý đất đai cấp tỉnh</v>
      </c>
      <c r="C227" s="278" t="str">
        <f>L_CViec!AD174</f>
        <v>Hồ sơ</v>
      </c>
      <c r="D227" s="278">
        <f>L_CViec!AC174</f>
        <v>1</v>
      </c>
      <c r="E227" s="278" t="str">
        <f>L_CViec!AE174</f>
        <v>1KS2</v>
      </c>
      <c r="F227" s="375" t="str">
        <f>L_CViec!AF174</f>
        <v>1-3</v>
      </c>
      <c r="G227" s="284">
        <f>L_CViec!AG174</f>
        <v>0.05</v>
      </c>
      <c r="H227" s="282">
        <f>L_CViec!AH174</f>
        <v>0.05</v>
      </c>
      <c r="I227" s="282">
        <f>L_CViec!AI174</f>
        <v>0.05</v>
      </c>
      <c r="J227" s="717">
        <f>L_CViec!AJ174</f>
        <v>320867.25</v>
      </c>
      <c r="K227" s="280">
        <f t="shared" si="44"/>
        <v>16043.362500000001</v>
      </c>
      <c r="L227" s="280">
        <f t="shared" si="45"/>
        <v>16043.362500000001</v>
      </c>
      <c r="M227" s="608">
        <f t="shared" si="46"/>
        <v>16043.362500000001</v>
      </c>
      <c r="N227" s="717">
        <f>$D227*G227*L_CBac!$J$68</f>
        <v>486.53846153846155</v>
      </c>
      <c r="O227" s="717">
        <f>$D227*H227*L_CBac!$J$68</f>
        <v>486.53846153846155</v>
      </c>
      <c r="P227" s="717">
        <f>$D227*I227*L_CBac!$J$68</f>
        <v>486.53846153846155</v>
      </c>
    </row>
    <row r="228" spans="1:16" s="66" customFormat="1" ht="36" customHeight="1">
      <c r="A228" s="727" t="s">
        <v>531</v>
      </c>
      <c r="B228" s="419" t="s">
        <v>191</v>
      </c>
      <c r="C228" s="278"/>
      <c r="D228" s="278"/>
      <c r="E228" s="278"/>
      <c r="F228" s="375"/>
      <c r="G228" s="284"/>
      <c r="H228" s="282"/>
      <c r="I228" s="282"/>
      <c r="J228" s="717"/>
      <c r="K228" s="280"/>
      <c r="L228" s="280"/>
      <c r="M228" s="608"/>
      <c r="N228" s="717"/>
      <c r="O228" s="717"/>
      <c r="P228" s="717"/>
    </row>
    <row r="229" spans="1:16" s="66" customFormat="1" ht="36.75" customHeight="1">
      <c r="A229" s="830" t="s">
        <v>834</v>
      </c>
      <c r="B229" s="831" t="s">
        <v>835</v>
      </c>
      <c r="C229" s="278">
        <f>L_CViec!AD175</f>
        <v>0</v>
      </c>
      <c r="D229" s="278">
        <f>L_CViec!AC175</f>
        <v>0</v>
      </c>
      <c r="E229" s="278">
        <f>L_CViec!AE175</f>
        <v>0</v>
      </c>
      <c r="F229" s="375">
        <f>L_CViec!AF175</f>
        <v>0</v>
      </c>
      <c r="G229" s="284"/>
      <c r="H229" s="282"/>
      <c r="I229" s="282"/>
      <c r="J229" s="717"/>
      <c r="K229" s="466">
        <f>SUM(K231,K232,K233,K236,K237,K238,K239,K241,K243,K244,K245,K251,K252,K248,K249,K250)</f>
        <v>1706988.5332499996</v>
      </c>
      <c r="L229" s="466">
        <f t="shared" ref="L229:P229" si="47">SUM(L231,L232,L233,L236,L237,L238,L239,L241,L243,L244,L245,L251,L252,L248,L249,L250)</f>
        <v>1634883.5332499996</v>
      </c>
      <c r="M229" s="466">
        <f t="shared" si="47"/>
        <v>2175981.0847499999</v>
      </c>
      <c r="N229" s="466">
        <f t="shared" si="47"/>
        <v>46133.576923076922</v>
      </c>
      <c r="O229" s="466">
        <f t="shared" si="47"/>
        <v>44187.423076923071</v>
      </c>
      <c r="P229" s="466">
        <f t="shared" si="47"/>
        <v>58764.115384615376</v>
      </c>
    </row>
    <row r="230" spans="1:16" s="66" customFormat="1" ht="36.75" customHeight="1">
      <c r="A230" s="830" t="s">
        <v>836</v>
      </c>
      <c r="B230" s="831" t="s">
        <v>837</v>
      </c>
      <c r="C230" s="278"/>
      <c r="D230" s="278"/>
      <c r="E230" s="278"/>
      <c r="F230" s="375"/>
      <c r="G230" s="284"/>
      <c r="H230" s="282"/>
      <c r="I230" s="282"/>
      <c r="J230" s="717"/>
      <c r="K230" s="466">
        <f>SUM(K231,K232,K233,K236,K237,K238,K241,K243,K244,K245,K251,K252,K248,K249,K250)</f>
        <v>1634883.5332499996</v>
      </c>
      <c r="L230" s="466">
        <f t="shared" ref="L230:M230" si="48">SUM(L231,L232,L233,L236,L237,L238,L241,L243,L244,L245,L251,L252,L248,L249,L250)</f>
        <v>1634883.5332499996</v>
      </c>
      <c r="M230" s="466">
        <f t="shared" si="48"/>
        <v>2103876.0847499999</v>
      </c>
      <c r="N230" s="466">
        <f t="shared" ref="N230" si="49">SUM(N231,N232,N233,N236,N237,N238,N241,N243,N244,N245,N251,N252,N248,N249,N250)</f>
        <v>44187.423076923071</v>
      </c>
      <c r="O230" s="466">
        <f t="shared" ref="O230" si="50">SUM(O231,O232,O233,O236,O237,O238,O241,O243,O244,O245,O251,O252,O248,O249,O250)</f>
        <v>44187.423076923071</v>
      </c>
      <c r="P230" s="466">
        <f t="shared" ref="P230" si="51">SUM(P231,P232,P233,P236,P237,P238,P241,P243,P244,P245,P251,P252,P248,P249,P250)</f>
        <v>56817.961538461532</v>
      </c>
    </row>
    <row r="231" spans="1:16" s="50" customFormat="1" ht="26">
      <c r="A231" s="728" t="str">
        <f>L_CViec!A176</f>
        <v>1</v>
      </c>
      <c r="B231" s="497" t="str">
        <f>L_CViec!B176</f>
        <v>Lập Tờ trình kèm theo hồ sơ và dự thảo Quyết định về hình thức sử dụng đất trình Chủ tịch Ủy ban nhân dân tỉnh</v>
      </c>
      <c r="C231" s="496" t="str">
        <f>L_CViec!AD176</f>
        <v>Hồ sơ</v>
      </c>
      <c r="D231" s="496">
        <f>L_CViec!AC176</f>
        <v>1</v>
      </c>
      <c r="E231" s="496" t="str">
        <f>L_CViec!AE176</f>
        <v>1KS3</v>
      </c>
      <c r="F231" s="498" t="str">
        <f>L_CViec!AF176</f>
        <v>1-3</v>
      </c>
      <c r="G231" s="499">
        <f>L_CViec!AG176</f>
        <v>1</v>
      </c>
      <c r="H231" s="500">
        <f>L_CViec!AH176</f>
        <v>1</v>
      </c>
      <c r="I231" s="500">
        <f>L_CViec!AI176</f>
        <v>1.3</v>
      </c>
      <c r="J231" s="717">
        <f>L_CViec!AJ176</f>
        <v>360525</v>
      </c>
      <c r="K231" s="280">
        <f t="shared" ref="K231:M246" si="52">G231*$J231</f>
        <v>360525</v>
      </c>
      <c r="L231" s="501">
        <f t="shared" si="52"/>
        <v>360525</v>
      </c>
      <c r="M231" s="617">
        <f t="shared" si="52"/>
        <v>468682.5</v>
      </c>
      <c r="N231" s="717">
        <f>$D231*G231*L_CBac!$J$68</f>
        <v>9730.7692307692305</v>
      </c>
      <c r="O231" s="717">
        <f>$D231*H231*L_CBac!$J$68</f>
        <v>9730.7692307692305</v>
      </c>
      <c r="P231" s="717">
        <f>$D231*I231*L_CBac!$J$68</f>
        <v>12650</v>
      </c>
    </row>
    <row r="232" spans="1:16" s="50" customFormat="1" ht="29.25" customHeight="1">
      <c r="A232" s="728" t="str">
        <f>L_CViec!A177</f>
        <v>2</v>
      </c>
      <c r="B232" s="497" t="str">
        <f>L_CViec!B177</f>
        <v>Quyết định hình thức sử dụng đất</v>
      </c>
      <c r="C232" s="496" t="str">
        <f>L_CViec!AD177</f>
        <v>Thửa</v>
      </c>
      <c r="D232" s="496">
        <f>L_CViec!AC177</f>
        <v>1</v>
      </c>
      <c r="E232" s="496" t="str">
        <f>L_CViec!AE177</f>
        <v>1KS3</v>
      </c>
      <c r="F232" s="498" t="str">
        <f>L_CViec!AF177</f>
        <v>1-3</v>
      </c>
      <c r="G232" s="499">
        <f>L_CViec!AG177</f>
        <v>0.05</v>
      </c>
      <c r="H232" s="500">
        <f>L_CViec!AH177</f>
        <v>0.05</v>
      </c>
      <c r="I232" s="500">
        <f>L_CViec!AI177</f>
        <v>0.05</v>
      </c>
      <c r="J232" s="717">
        <f>L_CViec!AJ177</f>
        <v>360525</v>
      </c>
      <c r="K232" s="280">
        <f t="shared" si="52"/>
        <v>18026.25</v>
      </c>
      <c r="L232" s="501">
        <f t="shared" si="52"/>
        <v>18026.25</v>
      </c>
      <c r="M232" s="617">
        <f t="shared" si="52"/>
        <v>18026.25</v>
      </c>
      <c r="N232" s="717">
        <f>$D232*G232*L_CBac!$J$68</f>
        <v>486.53846153846155</v>
      </c>
      <c r="O232" s="717">
        <f>$D232*H232*L_CBac!$J$68</f>
        <v>486.53846153846155</v>
      </c>
      <c r="P232" s="717">
        <f>$D232*I232*L_CBac!$J$68</f>
        <v>486.53846153846155</v>
      </c>
    </row>
    <row r="233" spans="1:16" s="183" customFormat="1" ht="48.75" customHeight="1">
      <c r="A233" s="728">
        <f>L_CViec!A178</f>
        <v>3</v>
      </c>
      <c r="B233" s="497" t="str">
        <f>L_CViec!B178</f>
        <v>Nhận lại hồ sơ và Quyết định hình thức sử dụng đất từ Ủy ban nhân dân tỉnh</v>
      </c>
      <c r="C233" s="496" t="str">
        <f>L_CViec!AD178</f>
        <v>Hồ sơ</v>
      </c>
      <c r="D233" s="496">
        <f>L_CViec!AC178</f>
        <v>1</v>
      </c>
      <c r="E233" s="496" t="str">
        <f>L_CViec!AE178</f>
        <v>1KS2</v>
      </c>
      <c r="F233" s="498" t="str">
        <f>L_CViec!AF178</f>
        <v>1-3</v>
      </c>
      <c r="G233" s="499">
        <f>L_CViec!AG178</f>
        <v>0.47</v>
      </c>
      <c r="H233" s="500">
        <f>L_CViec!AH178</f>
        <v>0.47</v>
      </c>
      <c r="I233" s="500">
        <f>L_CViec!AI178</f>
        <v>0.61099999999999999</v>
      </c>
      <c r="J233" s="717">
        <f>L_CViec!AJ178</f>
        <v>320867.25</v>
      </c>
      <c r="K233" s="280">
        <f t="shared" si="52"/>
        <v>150807.60749999998</v>
      </c>
      <c r="L233" s="501">
        <f t="shared" si="52"/>
        <v>150807.60749999998</v>
      </c>
      <c r="M233" s="617">
        <f t="shared" si="52"/>
        <v>196049.88975</v>
      </c>
      <c r="N233" s="717">
        <f>$D233*G233*L_CBac!$J$68</f>
        <v>4573.4615384615381</v>
      </c>
      <c r="O233" s="717">
        <f>$D233*H233*L_CBac!$J$68</f>
        <v>4573.4615384615381</v>
      </c>
      <c r="P233" s="717">
        <f>$D233*I233*L_CBac!$J$68</f>
        <v>5945.5</v>
      </c>
    </row>
    <row r="234" spans="1:16" s="66" customFormat="1" ht="26">
      <c r="A234" s="728" t="str">
        <f>L_CViec!A179</f>
        <v>4</v>
      </c>
      <c r="B234" s="497" t="str">
        <f>L_CViec!B179</f>
        <v>Xác định giá đất, lập và gửi Phiếu chuyển thông tin để xác định nghĩa vụ tài chính về đất đai sang cơ quan thuế</v>
      </c>
      <c r="C234" s="496">
        <f>L_CViec!AD179</f>
        <v>0</v>
      </c>
      <c r="D234" s="496">
        <f>L_CViec!AC179</f>
        <v>0</v>
      </c>
      <c r="E234" s="496">
        <f>L_CViec!AE179</f>
        <v>0</v>
      </c>
      <c r="F234" s="498">
        <f>L_CViec!AF179</f>
        <v>0</v>
      </c>
      <c r="G234" s="499">
        <f>L_CViec!AG179</f>
        <v>0</v>
      </c>
      <c r="H234" s="500">
        <f>L_CViec!AH179</f>
        <v>0</v>
      </c>
      <c r="I234" s="500">
        <f>L_CViec!AI179</f>
        <v>0</v>
      </c>
      <c r="J234" s="717">
        <f>L_CViec!AJ179</f>
        <v>0</v>
      </c>
      <c r="K234" s="280">
        <f t="shared" si="52"/>
        <v>0</v>
      </c>
      <c r="L234" s="501">
        <f t="shared" si="52"/>
        <v>0</v>
      </c>
      <c r="M234" s="501">
        <f t="shared" si="52"/>
        <v>0</v>
      </c>
      <c r="N234" s="717">
        <f>$D234*G234*L_CBac!$J$68</f>
        <v>0</v>
      </c>
      <c r="O234" s="717">
        <f>$D234*H234*L_CBac!$J$68</f>
        <v>0</v>
      </c>
      <c r="P234" s="717">
        <f>$D234*I234*L_CBac!$J$68</f>
        <v>0</v>
      </c>
    </row>
    <row r="235" spans="1:16" s="66" customFormat="1">
      <c r="A235" s="728" t="str">
        <f>L_CViec!A180</f>
        <v>4.1</v>
      </c>
      <c r="B235" s="497" t="str">
        <f>L_CViec!B180</f>
        <v>Chuyển thông tin theo hình thức liên thông</v>
      </c>
      <c r="C235" s="496" t="str">
        <f>L_CViec!AD180</f>
        <v>Hồ sơ</v>
      </c>
      <c r="D235" s="496">
        <f>L_CViec!AC180</f>
        <v>1</v>
      </c>
      <c r="E235" s="496" t="str">
        <f>L_CViec!AE180</f>
        <v>1KS3</v>
      </c>
      <c r="F235" s="498" t="str">
        <f>L_CViec!AF180</f>
        <v>1-3</v>
      </c>
      <c r="G235" s="499">
        <f>L_CViec!AG180</f>
        <v>1.21</v>
      </c>
      <c r="H235" s="500">
        <f>L_CViec!AH180</f>
        <v>1.21</v>
      </c>
      <c r="I235" s="500">
        <f>L_CViec!AI180</f>
        <v>1.573</v>
      </c>
      <c r="J235" s="717">
        <f>L_CViec!AJ180</f>
        <v>360525</v>
      </c>
      <c r="K235" s="280">
        <f t="shared" si="52"/>
        <v>436235.25</v>
      </c>
      <c r="L235" s="501">
        <f t="shared" si="52"/>
        <v>436235.25</v>
      </c>
      <c r="M235" s="617">
        <f t="shared" si="52"/>
        <v>567105.82499999995</v>
      </c>
      <c r="N235" s="717">
        <f>$D235*G235*L_CBac!$J$68</f>
        <v>11774.230769230768</v>
      </c>
      <c r="O235" s="717">
        <f>$D235*H235*L_CBac!$J$68</f>
        <v>11774.230769230768</v>
      </c>
      <c r="P235" s="717">
        <f>$D235*I235*L_CBac!$J$68</f>
        <v>15306.5</v>
      </c>
    </row>
    <row r="236" spans="1:16" s="66" customFormat="1">
      <c r="A236" s="728" t="str">
        <f>L_CViec!A181</f>
        <v>4.2</v>
      </c>
      <c r="B236" s="497" t="str">
        <f>L_CViec!B181</f>
        <v>Chuyển thông tin theo hình thức trực tiếp</v>
      </c>
      <c r="C236" s="496" t="str">
        <f>L_CViec!AD181</f>
        <v>Hồ sơ</v>
      </c>
      <c r="D236" s="496">
        <f>L_CViec!AC181</f>
        <v>1</v>
      </c>
      <c r="E236" s="496" t="str">
        <f>L_CViec!AE181</f>
        <v>1KS4</v>
      </c>
      <c r="F236" s="498" t="str">
        <f>L_CViec!AF181</f>
        <v>1-3</v>
      </c>
      <c r="G236" s="499">
        <f>L_CViec!AG181</f>
        <v>1.46</v>
      </c>
      <c r="H236" s="500">
        <f>L_CViec!AH181</f>
        <v>1.46</v>
      </c>
      <c r="I236" s="500">
        <f>L_CViec!AI181</f>
        <v>1.9</v>
      </c>
      <c r="J236" s="717">
        <f>L_CViec!AJ181</f>
        <v>400182.75</v>
      </c>
      <c r="K236" s="280">
        <f t="shared" si="52"/>
        <v>584266.81499999994</v>
      </c>
      <c r="L236" s="501">
        <f t="shared" si="52"/>
        <v>584266.81499999994</v>
      </c>
      <c r="M236" s="501">
        <f t="shared" si="52"/>
        <v>760347.22499999998</v>
      </c>
      <c r="N236" s="717">
        <f>$D236*G236*L_CBac!$J$68</f>
        <v>14206.923076923076</v>
      </c>
      <c r="O236" s="717">
        <f>$D236*H236*L_CBac!$J$68</f>
        <v>14206.923076923076</v>
      </c>
      <c r="P236" s="717">
        <f>$D236*I236*L_CBac!$J$68</f>
        <v>18488.461538461535</v>
      </c>
    </row>
    <row r="237" spans="1:16" s="305" customFormat="1" ht="26">
      <c r="A237" s="728" t="str">
        <f>L_CViec!A182</f>
        <v>5</v>
      </c>
      <c r="B237" s="497" t="str">
        <f>L_CViec!B182</f>
        <v>Nhập ý kiến xác nhận của cấp tỉnh vào tệp (File) dữ liệu hồ sơ số</v>
      </c>
      <c r="C237" s="496" t="str">
        <f>L_CViec!AD182</f>
        <v>Thửa</v>
      </c>
      <c r="D237" s="496">
        <f>L_CViec!AC182</f>
        <v>1</v>
      </c>
      <c r="E237" s="496" t="str">
        <f>L_CViec!AE182</f>
        <v>1KS3</v>
      </c>
      <c r="F237" s="498" t="str">
        <f>L_CViec!AF182</f>
        <v>1-3</v>
      </c>
      <c r="G237" s="499">
        <f>L_CViec!AG182</f>
        <v>3.0000000000000001E-3</v>
      </c>
      <c r="H237" s="500">
        <f>L_CViec!AH182</f>
        <v>3.0000000000000001E-3</v>
      </c>
      <c r="I237" s="500">
        <f>L_CViec!AI182</f>
        <v>3.0000000000000001E-3</v>
      </c>
      <c r="J237" s="717">
        <f>L_CViec!AJ182</f>
        <v>360525</v>
      </c>
      <c r="K237" s="280">
        <f t="shared" si="52"/>
        <v>1081.575</v>
      </c>
      <c r="L237" s="501">
        <f t="shared" si="52"/>
        <v>1081.575</v>
      </c>
      <c r="M237" s="617">
        <f t="shared" si="52"/>
        <v>1081.575</v>
      </c>
      <c r="N237" s="717">
        <f>$D237*G237*L_CBac!$J$68</f>
        <v>29.192307692307693</v>
      </c>
      <c r="O237" s="717">
        <f>$D237*H237*L_CBac!$J$68</f>
        <v>29.192307692307693</v>
      </c>
      <c r="P237" s="717">
        <f>$D237*I237*L_CBac!$J$68</f>
        <v>29.192307692307693</v>
      </c>
    </row>
    <row r="238" spans="1:16" s="305" customFormat="1">
      <c r="A238" s="728" t="str">
        <f>L_CViec!A183</f>
        <v>6</v>
      </c>
      <c r="B238" s="497" t="str">
        <f>L_CViec!B183</f>
        <v>Nhận thông báo hoàn thành nghĩa vụ tài chính từ cơ quan thuế</v>
      </c>
      <c r="C238" s="496" t="str">
        <f>L_CViec!AD183</f>
        <v>Hồ sơ</v>
      </c>
      <c r="D238" s="496">
        <f>L_CViec!AC183</f>
        <v>1</v>
      </c>
      <c r="E238" s="496" t="str">
        <f>L_CViec!AE183</f>
        <v>1KS2</v>
      </c>
      <c r="F238" s="498" t="str">
        <f>L_CViec!AF183</f>
        <v>1-3</v>
      </c>
      <c r="G238" s="499">
        <f>L_CViec!AG183</f>
        <v>3.3000000000000002E-2</v>
      </c>
      <c r="H238" s="500">
        <f>L_CViec!AH183</f>
        <v>3.3000000000000002E-2</v>
      </c>
      <c r="I238" s="500">
        <f>L_CViec!AI183</f>
        <v>3.3000000000000002E-2</v>
      </c>
      <c r="J238" s="717">
        <f>L_CViec!AJ183</f>
        <v>320867.25</v>
      </c>
      <c r="K238" s="280">
        <f t="shared" si="52"/>
        <v>10588.61925</v>
      </c>
      <c r="L238" s="501">
        <f t="shared" si="52"/>
        <v>10588.61925</v>
      </c>
      <c r="M238" s="617">
        <f t="shared" si="52"/>
        <v>10588.61925</v>
      </c>
      <c r="N238" s="717">
        <f>$D238*G238*L_CBac!$J$68</f>
        <v>321.11538461538464</v>
      </c>
      <c r="O238" s="717">
        <f>$D238*H238*L_CBac!$J$68</f>
        <v>321.11538461538464</v>
      </c>
      <c r="P238" s="717">
        <f>$D238*I238*L_CBac!$J$68</f>
        <v>321.11538461538464</v>
      </c>
    </row>
    <row r="239" spans="1:16" s="66" customFormat="1">
      <c r="A239" s="728" t="str">
        <f>L_CViec!A184</f>
        <v>7</v>
      </c>
      <c r="B239" s="497" t="str">
        <f>L_CViec!B184</f>
        <v>Chuẩn bị hợp đồng cho thuê đất (nếu có)</v>
      </c>
      <c r="C239" s="496" t="str">
        <f>L_CViec!AD184</f>
        <v>Hồ sơ</v>
      </c>
      <c r="D239" s="496">
        <f>L_CViec!AC184</f>
        <v>1</v>
      </c>
      <c r="E239" s="496" t="str">
        <f>L_CViec!AE184</f>
        <v>1KS3</v>
      </c>
      <c r="F239" s="498" t="str">
        <f>L_CViec!AF184</f>
        <v>1-3</v>
      </c>
      <c r="G239" s="499">
        <f>L_CViec!AG184</f>
        <v>0.2</v>
      </c>
      <c r="H239" s="500">
        <f>L_CViec!AH184</f>
        <v>0</v>
      </c>
      <c r="I239" s="500">
        <f>L_CViec!AI184</f>
        <v>0.2</v>
      </c>
      <c r="J239" s="717">
        <f>L_CViec!AJ184</f>
        <v>360525</v>
      </c>
      <c r="K239" s="280">
        <f t="shared" si="52"/>
        <v>72105</v>
      </c>
      <c r="L239" s="501">
        <f t="shared" si="52"/>
        <v>0</v>
      </c>
      <c r="M239" s="617">
        <f t="shared" si="52"/>
        <v>72105</v>
      </c>
      <c r="N239" s="717">
        <f>$D239*G239*L_CBac!$J$68</f>
        <v>1946.1538461538462</v>
      </c>
      <c r="O239" s="717">
        <f>$D239*H239*L_CBac!$J$68</f>
        <v>0</v>
      </c>
      <c r="P239" s="717">
        <f>$D239*I239*L_CBac!$J$68</f>
        <v>1946.1538461538462</v>
      </c>
    </row>
    <row r="240" spans="1:16" s="66" customFormat="1" ht="21" customHeight="1">
      <c r="A240" s="728" t="str">
        <f>L_CViec!A185</f>
        <v>8</v>
      </c>
      <c r="B240" s="497" t="str">
        <f>L_CViec!B185</f>
        <v>In GCN</v>
      </c>
      <c r="C240" s="496">
        <f>L_CViec!AD185</f>
        <v>0</v>
      </c>
      <c r="D240" s="496">
        <f>L_CViec!AC185</f>
        <v>0</v>
      </c>
      <c r="E240" s="496">
        <f>L_CViec!AE185</f>
        <v>0</v>
      </c>
      <c r="F240" s="498">
        <f>L_CViec!AF185</f>
        <v>0</v>
      </c>
      <c r="G240" s="499">
        <f>L_CViec!AG185</f>
        <v>0</v>
      </c>
      <c r="H240" s="500">
        <f>L_CViec!AH185</f>
        <v>0</v>
      </c>
      <c r="I240" s="500">
        <f>L_CViec!AI185</f>
        <v>0</v>
      </c>
      <c r="J240" s="717">
        <f>L_CViec!AJ185</f>
        <v>0</v>
      </c>
      <c r="K240" s="280">
        <f t="shared" si="52"/>
        <v>0</v>
      </c>
      <c r="L240" s="501">
        <f t="shared" si="52"/>
        <v>0</v>
      </c>
      <c r="M240" s="501">
        <f t="shared" si="52"/>
        <v>0</v>
      </c>
      <c r="N240" s="717">
        <f>$D240*G240*L_CBac!$J$68</f>
        <v>0</v>
      </c>
      <c r="O240" s="717">
        <f>$D240*H240*L_CBac!$J$68</f>
        <v>0</v>
      </c>
      <c r="P240" s="717">
        <f>$D240*I240*L_CBac!$J$68</f>
        <v>0</v>
      </c>
    </row>
    <row r="241" spans="1:16" s="66" customFormat="1" ht="21" customHeight="1">
      <c r="A241" s="728" t="str">
        <f>L_CViec!A186</f>
        <v>8.1</v>
      </c>
      <c r="B241" s="497" t="str">
        <f>L_CViec!B186</f>
        <v>Trực tiếp từ cơ sở dữ liệu dạng số</v>
      </c>
      <c r="C241" s="496" t="str">
        <f>L_CViec!AD186</f>
        <v>GCN</v>
      </c>
      <c r="D241" s="496">
        <f>L_CViec!AC186</f>
        <v>1</v>
      </c>
      <c r="E241" s="496" t="str">
        <f>L_CViec!AE186</f>
        <v>1KS2</v>
      </c>
      <c r="F241" s="498" t="str">
        <f>L_CViec!AF186</f>
        <v>1-3</v>
      </c>
      <c r="G241" s="499">
        <f>L_CViec!AG186</f>
        <v>0.1</v>
      </c>
      <c r="H241" s="500">
        <f>L_CViec!AH186</f>
        <v>0.1</v>
      </c>
      <c r="I241" s="500">
        <f>L_CViec!AI186</f>
        <v>0.1</v>
      </c>
      <c r="J241" s="717">
        <f>L_CViec!AJ186</f>
        <v>320867.25</v>
      </c>
      <c r="K241" s="280">
        <f t="shared" si="52"/>
        <v>32086.725000000002</v>
      </c>
      <c r="L241" s="501">
        <f t="shared" si="52"/>
        <v>32086.725000000002</v>
      </c>
      <c r="M241" s="617">
        <f t="shared" si="52"/>
        <v>32086.725000000002</v>
      </c>
      <c r="N241" s="717">
        <f>$D241*G241*L_CBac!$J$68</f>
        <v>973.07692307692309</v>
      </c>
      <c r="O241" s="717">
        <f>$D241*H241*L_CBac!$J$68</f>
        <v>973.07692307692309</v>
      </c>
      <c r="P241" s="717">
        <f>$D241*I241*L_CBac!$J$68</f>
        <v>973.07692307692309</v>
      </c>
    </row>
    <row r="242" spans="1:16" s="50" customFormat="1">
      <c r="A242" s="728" t="str">
        <f>L_CViec!A187</f>
        <v>8.2</v>
      </c>
      <c r="B242" s="497" t="str">
        <f>L_CViec!B187</f>
        <v>Đối với những nơi chưa có bản đồ dạng số</v>
      </c>
      <c r="C242" s="496" t="str">
        <f>L_CViec!AD187</f>
        <v>GCN</v>
      </c>
      <c r="D242" s="496">
        <f>L_CViec!AC187</f>
        <v>1</v>
      </c>
      <c r="E242" s="496" t="str">
        <f>L_CViec!AE187</f>
        <v>1KS2</v>
      </c>
      <c r="F242" s="498" t="str">
        <f>L_CViec!AF187</f>
        <v>1-3</v>
      </c>
      <c r="G242" s="499">
        <f>L_CViec!AG187</f>
        <v>0.15</v>
      </c>
      <c r="H242" s="500">
        <f>L_CViec!AH187</f>
        <v>0.2</v>
      </c>
      <c r="I242" s="500">
        <f>L_CViec!AI187</f>
        <v>0.2</v>
      </c>
      <c r="J242" s="717">
        <f>L_CViec!AJ187</f>
        <v>320867.25</v>
      </c>
      <c r="K242" s="280">
        <f t="shared" si="52"/>
        <v>48130.087500000001</v>
      </c>
      <c r="L242" s="501">
        <f t="shared" si="52"/>
        <v>64173.450000000004</v>
      </c>
      <c r="M242" s="501">
        <f t="shared" si="52"/>
        <v>64173.450000000004</v>
      </c>
      <c r="N242" s="717">
        <f>$D242*G242*L_CBac!$J$68</f>
        <v>1459.6153846153845</v>
      </c>
      <c r="O242" s="717">
        <f>$D242*H242*L_CBac!$J$68</f>
        <v>1946.1538461538462</v>
      </c>
      <c r="P242" s="717">
        <f>$D242*I242*L_CBac!$J$68</f>
        <v>1946.1538461538462</v>
      </c>
    </row>
    <row r="243" spans="1:16" s="50" customFormat="1">
      <c r="A243" s="728" t="str">
        <f>L_CViec!A188</f>
        <v>9</v>
      </c>
      <c r="B243" s="497" t="str">
        <f>L_CViec!B188</f>
        <v>Lập hồ sơ trình ký Giấy chứng nhận</v>
      </c>
      <c r="C243" s="496" t="str">
        <f>L_CViec!AD188</f>
        <v>Hồ sơ</v>
      </c>
      <c r="D243" s="496">
        <f>L_CViec!AC188</f>
        <v>1</v>
      </c>
      <c r="E243" s="496" t="str">
        <f>L_CViec!AE188</f>
        <v>1KS2</v>
      </c>
      <c r="F243" s="498" t="str">
        <f>L_CViec!AF188</f>
        <v>1-3</v>
      </c>
      <c r="G243" s="499">
        <f>L_CViec!AG188</f>
        <v>0.5</v>
      </c>
      <c r="H243" s="500">
        <f>L_CViec!AH188</f>
        <v>0.5</v>
      </c>
      <c r="I243" s="500">
        <f>L_CViec!AI188</f>
        <v>0.65</v>
      </c>
      <c r="J243" s="717">
        <f>L_CViec!AJ188</f>
        <v>360525</v>
      </c>
      <c r="K243" s="280">
        <f t="shared" si="52"/>
        <v>180262.5</v>
      </c>
      <c r="L243" s="501">
        <f t="shared" si="52"/>
        <v>180262.5</v>
      </c>
      <c r="M243" s="617">
        <f t="shared" si="52"/>
        <v>234341.25</v>
      </c>
      <c r="N243" s="717">
        <f>$D243*G243*L_CBac!$J$68</f>
        <v>4865.3846153846152</v>
      </c>
      <c r="O243" s="717">
        <f>$D243*H243*L_CBac!$J$68</f>
        <v>4865.3846153846152</v>
      </c>
      <c r="P243" s="717">
        <f>$D243*I243*L_CBac!$J$68</f>
        <v>6325</v>
      </c>
    </row>
    <row r="244" spans="1:16" s="50" customFormat="1" ht="26">
      <c r="A244" s="728" t="str">
        <f>L_CViec!A189</f>
        <v>10</v>
      </c>
      <c r="B244" s="497" t="str">
        <f>L_CViec!B189</f>
        <v>Nhận lại hồ sơ, GCN, hợp đồng thuê đất; lập và sao sổ cấp Giấy chứng nhận</v>
      </c>
      <c r="C244" s="496" t="str">
        <f>L_CViec!AD189</f>
        <v>Hồ sơ</v>
      </c>
      <c r="D244" s="496">
        <f>L_CViec!AC189</f>
        <v>1</v>
      </c>
      <c r="E244" s="496" t="str">
        <f>L_CViec!AE189</f>
        <v>1KS2</v>
      </c>
      <c r="F244" s="498" t="str">
        <f>L_CViec!AF189</f>
        <v>1-3</v>
      </c>
      <c r="G244" s="499">
        <f>L_CViec!AG189</f>
        <v>0.47</v>
      </c>
      <c r="H244" s="500">
        <f>L_CViec!AH189</f>
        <v>0.47</v>
      </c>
      <c r="I244" s="500">
        <f>L_CViec!AI189</f>
        <v>0.61099999999999999</v>
      </c>
      <c r="J244" s="717">
        <f>L_CViec!AJ189</f>
        <v>320867.25</v>
      </c>
      <c r="K244" s="280">
        <f t="shared" si="52"/>
        <v>150807.60749999998</v>
      </c>
      <c r="L244" s="501">
        <f t="shared" si="52"/>
        <v>150807.60749999998</v>
      </c>
      <c r="M244" s="617">
        <f t="shared" si="52"/>
        <v>196049.88975</v>
      </c>
      <c r="N244" s="717">
        <f>$D244*G244*L_CBac!$J$68</f>
        <v>4573.4615384615381</v>
      </c>
      <c r="O244" s="717">
        <f>$D244*H244*L_CBac!$J$68</f>
        <v>4573.4615384615381</v>
      </c>
      <c r="P244" s="717">
        <f>$D244*I244*L_CBac!$J$68</f>
        <v>5945.5</v>
      </c>
    </row>
    <row r="245" spans="1:16" s="50" customFormat="1">
      <c r="A245" s="728" t="str">
        <f>L_CViec!A190</f>
        <v>11</v>
      </c>
      <c r="B245" s="497" t="str">
        <f>L_CViec!B190</f>
        <v>Nhập bổ sung thông tin dữ liệu về GCN</v>
      </c>
      <c r="C245" s="496" t="str">
        <f>L_CViec!AD190</f>
        <v>Thửa</v>
      </c>
      <c r="D245" s="496">
        <f>L_CViec!AC190</f>
        <v>1</v>
      </c>
      <c r="E245" s="496" t="str">
        <f>L_CViec!AE190</f>
        <v>1KS3</v>
      </c>
      <c r="F245" s="498" t="str">
        <f>L_CViec!AF190</f>
        <v>1-3</v>
      </c>
      <c r="G245" s="499">
        <f>L_CViec!AG190</f>
        <v>3.3000000000000002E-2</v>
      </c>
      <c r="H245" s="500">
        <f>L_CViec!AH190</f>
        <v>3.3000000000000002E-2</v>
      </c>
      <c r="I245" s="500">
        <f>L_CViec!AI190</f>
        <v>3.3000000000000002E-2</v>
      </c>
      <c r="J245" s="717">
        <f>L_CViec!AJ190</f>
        <v>360525</v>
      </c>
      <c r="K245" s="280">
        <f t="shared" si="52"/>
        <v>11897.325000000001</v>
      </c>
      <c r="L245" s="501">
        <f t="shared" si="52"/>
        <v>11897.325000000001</v>
      </c>
      <c r="M245" s="617">
        <f t="shared" si="52"/>
        <v>11897.325000000001</v>
      </c>
      <c r="N245" s="717">
        <f>$D245*G245*L_CBac!$J$68</f>
        <v>321.11538461538464</v>
      </c>
      <c r="O245" s="717">
        <f>$D245*H245*L_CBac!$J$68</f>
        <v>321.11538461538464</v>
      </c>
      <c r="P245" s="717">
        <f>$D245*I245*L_CBac!$J$68</f>
        <v>321.11538461538464</v>
      </c>
    </row>
    <row r="246" spans="1:16" s="66" customFormat="1">
      <c r="A246" s="728" t="str">
        <f>L_CViec!A191</f>
        <v>12</v>
      </c>
      <c r="B246" s="497" t="str">
        <f>L_CViec!B191</f>
        <v>Quét giấy tờ bổ sung</v>
      </c>
      <c r="C246" s="496">
        <f>L_CViec!AD191</f>
        <v>0</v>
      </c>
      <c r="D246" s="496">
        <f>L_CViec!AC191</f>
        <v>0</v>
      </c>
      <c r="E246" s="496">
        <f>L_CViec!AE191</f>
        <v>0</v>
      </c>
      <c r="F246" s="498">
        <f>L_CViec!AF191</f>
        <v>0</v>
      </c>
      <c r="G246" s="499">
        <f>L_CViec!AG191</f>
        <v>0</v>
      </c>
      <c r="H246" s="500">
        <f>L_CViec!AH191</f>
        <v>0</v>
      </c>
      <c r="I246" s="500">
        <f>L_CViec!AI191</f>
        <v>0</v>
      </c>
      <c r="J246" s="717">
        <f>L_CViec!AJ191</f>
        <v>0</v>
      </c>
      <c r="K246" s="280">
        <f>K247+K248+K249+K250</f>
        <v>10685.960999999999</v>
      </c>
      <c r="L246" s="501">
        <f t="shared" si="52"/>
        <v>0</v>
      </c>
      <c r="M246" s="501">
        <f t="shared" si="52"/>
        <v>0</v>
      </c>
      <c r="N246" s="717">
        <f>$D246*G246*L_CBac!$J$68</f>
        <v>0</v>
      </c>
      <c r="O246" s="717">
        <f>$D246*H246*L_CBac!$J$68</f>
        <v>0</v>
      </c>
      <c r="P246" s="717">
        <f>$D246*I246*L_CBac!$J$68</f>
        <v>0</v>
      </c>
    </row>
    <row r="247" spans="1:16" s="66" customFormat="1" ht="23.25" customHeight="1">
      <c r="A247" s="728" t="str">
        <f>L_CViec!A192</f>
        <v>12.1</v>
      </c>
      <c r="B247" s="497" t="str">
        <f>L_CViec!B192</f>
        <v>Quét trang A3</v>
      </c>
      <c r="C247" s="496" t="str">
        <f>L_CViec!AD192</f>
        <v>Trang</v>
      </c>
      <c r="D247" s="496">
        <f>L_CViec!AC192</f>
        <v>1</v>
      </c>
      <c r="E247" s="496" t="str">
        <f>L_CViec!AE192</f>
        <v>1KS1</v>
      </c>
      <c r="F247" s="498" t="str">
        <f>L_CViec!AF192</f>
        <v>1-3</v>
      </c>
      <c r="G247" s="499">
        <f>L_CViec!AG192</f>
        <v>1.6E-2</v>
      </c>
      <c r="H247" s="500">
        <f>L_CViec!AH192</f>
        <v>1.6E-2</v>
      </c>
      <c r="I247" s="500">
        <f>L_CViec!AI192</f>
        <v>0.02</v>
      </c>
      <c r="J247" s="717">
        <f>L_CViec!AJ192</f>
        <v>281209.5</v>
      </c>
      <c r="K247" s="280">
        <f t="shared" ref="K247:M252" si="53">G247*$J247</f>
        <v>4499.3519999999999</v>
      </c>
      <c r="L247" s="501">
        <f t="shared" si="53"/>
        <v>4499.3519999999999</v>
      </c>
      <c r="M247" s="501">
        <f t="shared" si="53"/>
        <v>5624.1900000000005</v>
      </c>
      <c r="N247" s="717">
        <f>$D247*G247*L_CBac!$J$68</f>
        <v>155.69230769230768</v>
      </c>
      <c r="O247" s="717">
        <f>$D247*H247*L_CBac!$J$68</f>
        <v>155.69230769230768</v>
      </c>
      <c r="P247" s="717">
        <f>$D247*I247*L_CBac!$J$68</f>
        <v>194.61538461538461</v>
      </c>
    </row>
    <row r="248" spans="1:16" s="50" customFormat="1">
      <c r="A248" s="728" t="str">
        <f>L_CViec!A193</f>
        <v>12.2</v>
      </c>
      <c r="B248" s="497" t="str">
        <f>L_CViec!B193</f>
        <v>Quét trang A4</v>
      </c>
      <c r="C248" s="496" t="str">
        <f>L_CViec!AD193</f>
        <v>Trang</v>
      </c>
      <c r="D248" s="496">
        <f>L_CViec!AC193</f>
        <v>1</v>
      </c>
      <c r="E248" s="496" t="str">
        <f>L_CViec!AE193</f>
        <v>1KS1</v>
      </c>
      <c r="F248" s="498" t="str">
        <f>L_CViec!AF193</f>
        <v>1-3</v>
      </c>
      <c r="G248" s="499">
        <f>L_CViec!AG193</f>
        <v>8.0000000000000002E-3</v>
      </c>
      <c r="H248" s="500">
        <f>L_CViec!AH193</f>
        <v>8.0000000000000002E-3</v>
      </c>
      <c r="I248" s="500">
        <f>L_CViec!AI193</f>
        <v>0.01</v>
      </c>
      <c r="J248" s="717">
        <f>L_CViec!AJ193</f>
        <v>281209.5</v>
      </c>
      <c r="K248" s="280">
        <f t="shared" si="53"/>
        <v>2249.6759999999999</v>
      </c>
      <c r="L248" s="501">
        <f t="shared" si="53"/>
        <v>2249.6759999999999</v>
      </c>
      <c r="M248" s="501">
        <f t="shared" si="53"/>
        <v>2812.0950000000003</v>
      </c>
      <c r="N248" s="717">
        <f>$D248*G248*L_CBac!$J$68</f>
        <v>77.84615384615384</v>
      </c>
      <c r="O248" s="717">
        <f>$D248*H248*L_CBac!$J$68</f>
        <v>77.84615384615384</v>
      </c>
      <c r="P248" s="717">
        <f>$D248*I248*L_CBac!$J$68</f>
        <v>97.307692307692307</v>
      </c>
    </row>
    <row r="249" spans="1:16" s="50" customFormat="1" ht="26">
      <c r="A249" s="728" t="str">
        <f>L_CViec!A194</f>
        <v>13</v>
      </c>
      <c r="B249" s="497" t="str">
        <f>L_CViec!B194</f>
        <v>Xử lý các tệp tin quét thành tệp (File) hồ sơ quét dạng số của thửa đất, lưu trữ dưới khuôn dạng tệp tin PDF</v>
      </c>
      <c r="C249" s="496" t="str">
        <f>L_CViec!AD194</f>
        <v>Trang</v>
      </c>
      <c r="D249" s="496">
        <f>L_CViec!AC194</f>
        <v>1</v>
      </c>
      <c r="E249" s="496" t="str">
        <f>L_CViec!AE194</f>
        <v>1KS1</v>
      </c>
      <c r="F249" s="498" t="str">
        <f>L_CViec!AF194</f>
        <v>1-3</v>
      </c>
      <c r="G249" s="499">
        <f>L_CViec!AG194</f>
        <v>4.0000000000000001E-3</v>
      </c>
      <c r="H249" s="500">
        <f>L_CViec!AH194</f>
        <v>4.0000000000000001E-3</v>
      </c>
      <c r="I249" s="500">
        <f>L_CViec!AI194</f>
        <v>5.0000000000000001E-3</v>
      </c>
      <c r="J249" s="717">
        <f>L_CViec!AJ194</f>
        <v>281209.5</v>
      </c>
      <c r="K249" s="280">
        <f t="shared" si="53"/>
        <v>1124.838</v>
      </c>
      <c r="L249" s="501">
        <f t="shared" si="53"/>
        <v>1124.838</v>
      </c>
      <c r="M249" s="501">
        <f t="shared" si="53"/>
        <v>1406.0475000000001</v>
      </c>
      <c r="N249" s="717">
        <f>$D249*G249*L_CBac!$J$68</f>
        <v>38.92307692307692</v>
      </c>
      <c r="O249" s="717">
        <f>$D249*H249*L_CBac!$J$68</f>
        <v>38.92307692307692</v>
      </c>
      <c r="P249" s="717">
        <f>$D249*I249*L_CBac!$J$68</f>
        <v>48.653846153846153</v>
      </c>
    </row>
    <row r="250" spans="1:16" s="50" customFormat="1" ht="26">
      <c r="A250" s="728" t="str">
        <f>L_CViec!A195</f>
        <v>14</v>
      </c>
      <c r="B250" s="497" t="str">
        <f>L_CViec!B195</f>
        <v>Tạo liên kết hồ sơ quét dạng số với thửa đất trong cơ sở dữ liệu</v>
      </c>
      <c r="C250" s="496" t="str">
        <f>L_CViec!AD195</f>
        <v>Thửa</v>
      </c>
      <c r="D250" s="496">
        <f>L_CViec!AC195</f>
        <v>1</v>
      </c>
      <c r="E250" s="496" t="str">
        <f>L_CViec!AE195</f>
        <v>1KS1</v>
      </c>
      <c r="F250" s="498" t="str">
        <f>L_CViec!AF195</f>
        <v>1-3</v>
      </c>
      <c r="G250" s="499">
        <f>L_CViec!AG195</f>
        <v>0.01</v>
      </c>
      <c r="H250" s="500">
        <f>L_CViec!AH195</f>
        <v>0.01</v>
      </c>
      <c r="I250" s="500">
        <f>L_CViec!AI195</f>
        <v>1.2999999999999999E-2</v>
      </c>
      <c r="J250" s="717">
        <f>L_CViec!AJ195</f>
        <v>281209.5</v>
      </c>
      <c r="K250" s="280">
        <f t="shared" si="53"/>
        <v>2812.0950000000003</v>
      </c>
      <c r="L250" s="501">
        <f t="shared" si="53"/>
        <v>2812.0950000000003</v>
      </c>
      <c r="M250" s="501">
        <f t="shared" si="53"/>
        <v>3655.7235000000001</v>
      </c>
      <c r="N250" s="717">
        <f>$D250*G250*L_CBac!$J$68</f>
        <v>97.307692307692307</v>
      </c>
      <c r="O250" s="717">
        <f>$D250*H250*L_CBac!$J$68</f>
        <v>97.307692307692307</v>
      </c>
      <c r="P250" s="717">
        <f>$D250*I250*L_CBac!$J$68</f>
        <v>126.49999999999999</v>
      </c>
    </row>
    <row r="251" spans="1:16" s="50" customFormat="1" ht="39">
      <c r="A251" s="728" t="str">
        <f>L_CViec!A196</f>
        <v>15</v>
      </c>
      <c r="B251" s="497" t="str">
        <f>L_CViec!B196</f>
        <v>Cập nhật bổ sung việc cấp GCN vào hồ sơ địa chính, cơ sở dữ liệu đất đai và gửi nội dung cập nhật hồ sơ địa chính về cấp xã, phường</v>
      </c>
      <c r="C251" s="496" t="str">
        <f>L_CViec!AD196</f>
        <v>Hồ sơ</v>
      </c>
      <c r="D251" s="496">
        <f>L_CViec!AC196</f>
        <v>1</v>
      </c>
      <c r="E251" s="496" t="str">
        <f>L_CViec!AE196</f>
        <v>1KS2</v>
      </c>
      <c r="F251" s="498" t="str">
        <f>L_CViec!AF196</f>
        <v>1-3</v>
      </c>
      <c r="G251" s="499">
        <f>L_CViec!AG196</f>
        <v>0.2</v>
      </c>
      <c r="H251" s="500">
        <f>L_CViec!AH196</f>
        <v>0.2</v>
      </c>
      <c r="I251" s="500">
        <f>L_CViec!AI196</f>
        <v>0.26</v>
      </c>
      <c r="J251" s="717">
        <f>L_CViec!AJ196</f>
        <v>320867.25</v>
      </c>
      <c r="K251" s="280">
        <f t="shared" si="53"/>
        <v>64173.450000000004</v>
      </c>
      <c r="L251" s="501">
        <f t="shared" si="53"/>
        <v>64173.450000000004</v>
      </c>
      <c r="M251" s="617">
        <f t="shared" si="53"/>
        <v>83425.485000000001</v>
      </c>
      <c r="N251" s="717">
        <f>$D251*G251*L_CBac!$J$68</f>
        <v>1946.1538461538462</v>
      </c>
      <c r="O251" s="717">
        <f>$D251*H251*L_CBac!$J$68</f>
        <v>1946.1538461538462</v>
      </c>
      <c r="P251" s="717">
        <f>$D251*I251*L_CBac!$J$68</f>
        <v>2530</v>
      </c>
    </row>
    <row r="252" spans="1:16" s="66" customFormat="1" ht="39">
      <c r="A252" s="728" t="str">
        <f>L_CViec!A197</f>
        <v>16</v>
      </c>
      <c r="B252" s="497" t="str">
        <f>L_CViec!B197</f>
        <v>Chuyển Giấy chứng nhận đến Bộ phận một cửa để trao cho người sử dụng đất hoặc chuyển Giấy chứng nhận cho người sử dụng đất thông qua dịch vụ bưu chính công ích</v>
      </c>
      <c r="C252" s="496" t="str">
        <f>L_CViec!AD197</f>
        <v>Hồ sơ</v>
      </c>
      <c r="D252" s="496">
        <f>L_CViec!AC197</f>
        <v>1</v>
      </c>
      <c r="E252" s="496" t="str">
        <f>L_CViec!AE197</f>
        <v>1KS2</v>
      </c>
      <c r="F252" s="498" t="str">
        <f>L_CViec!AF197</f>
        <v>1-3</v>
      </c>
      <c r="G252" s="499">
        <f>L_CViec!AG197</f>
        <v>0.2</v>
      </c>
      <c r="H252" s="500">
        <f>L_CViec!AH197</f>
        <v>0.2</v>
      </c>
      <c r="I252" s="500">
        <f>L_CViec!AI197</f>
        <v>0.26</v>
      </c>
      <c r="J252" s="717">
        <f>L_CViec!AJ197</f>
        <v>320867.25</v>
      </c>
      <c r="K252" s="280">
        <f t="shared" si="53"/>
        <v>64173.450000000004</v>
      </c>
      <c r="L252" s="501">
        <f t="shared" si="53"/>
        <v>64173.450000000004</v>
      </c>
      <c r="M252" s="617">
        <f t="shared" si="53"/>
        <v>83425.485000000001</v>
      </c>
      <c r="N252" s="717">
        <f>$D252*G252*L_CBac!$J$68</f>
        <v>1946.1538461538462</v>
      </c>
      <c r="O252" s="717">
        <f>$D252*H252*L_CBac!$J$68</f>
        <v>1946.1538461538462</v>
      </c>
      <c r="P252" s="717">
        <f>$D252*I252*L_CBac!$J$68</f>
        <v>2530</v>
      </c>
    </row>
    <row r="253" spans="1:16" s="66" customFormat="1">
      <c r="A253" s="502" t="str">
        <f>L_CViec!A198</f>
        <v>III.3</v>
      </c>
      <c r="B253" s="503" t="str">
        <f>L_CViec!B198</f>
        <v>GHI CHÚ</v>
      </c>
      <c r="C253" s="504"/>
      <c r="D253" s="504"/>
      <c r="E253" s="504"/>
      <c r="F253" s="504"/>
      <c r="G253" s="504"/>
      <c r="H253" s="505"/>
      <c r="I253" s="505"/>
      <c r="J253" s="719"/>
      <c r="K253" s="467"/>
      <c r="L253" s="506"/>
      <c r="M253" s="506"/>
      <c r="N253" s="465"/>
      <c r="O253" s="465"/>
      <c r="P253" s="465"/>
    </row>
    <row r="254" spans="1:16" s="50" customFormat="1" ht="27.65" customHeight="1">
      <c r="A254" s="486" t="str">
        <f>L_CViec!A199</f>
        <v>1</v>
      </c>
      <c r="B254" s="946" t="str">
        <f>L_CViec!B199</f>
        <v>(1) Cột “ĐM Đất” áp dụng cho trường hợp đăng ký, cấp GCN đối với đất; cột “ĐM Đất + TS” áp dụng đối với trường hợp đăng ký, cấp GCN đối với cả đất và tài sản gắn liền với đất.</v>
      </c>
      <c r="C254" s="946"/>
      <c r="D254" s="946"/>
      <c r="E254" s="946"/>
      <c r="F254" s="946"/>
      <c r="G254" s="946"/>
      <c r="H254" s="946"/>
      <c r="I254" s="946"/>
      <c r="J254" s="946"/>
      <c r="K254" s="946"/>
      <c r="L254" s="946"/>
      <c r="M254" s="946"/>
      <c r="N254" s="465"/>
      <c r="O254" s="465"/>
      <c r="P254" s="465"/>
    </row>
    <row r="255" spans="1:16" s="50" customFormat="1" ht="28.5" customHeight="1">
      <c r="A255" s="486" t="str">
        <f>L_CViec!A200</f>
        <v>2</v>
      </c>
      <c r="B255" s="946" t="str">
        <f>L_CViec!B200</f>
        <v>(2) Trường hợp đăng ký đất đai nhưng không có nhu cầu hoặc không đủ điều kiện cấp GCN thì được tính định mức đối với Mục 1, 2, 3, 4, 5, 6, 7 và 8 nội dung thực hiện tại địa bàn xã, phường, đặc khu; Mục 15 và 16 các nội dung thực hiện tại địa bàn tỉnh.</v>
      </c>
      <c r="C255" s="946"/>
      <c r="D255" s="946"/>
      <c r="E255" s="946"/>
      <c r="F255" s="946"/>
      <c r="G255" s="946"/>
      <c r="H255" s="946"/>
      <c r="I255" s="946"/>
      <c r="J255" s="946"/>
      <c r="K255" s="946"/>
      <c r="L255" s="946"/>
      <c r="M255" s="946"/>
      <c r="N255" s="465"/>
      <c r="O255" s="465"/>
      <c r="P255" s="465"/>
    </row>
    <row r="256" spans="1:16" s="50" customFormat="1" ht="27.65" customHeight="1">
      <c r="A256" s="486" t="str">
        <f>L_CViec!A201</f>
        <v>3</v>
      </c>
      <c r="B256" s="946" t="str">
        <f>L_CViec!B201</f>
        <v>(3) Trường hợp đăng ký đối với đất được giao để quản lý thì được tính định mức đối với Mục 1, 2, 3, 4 và 5 nội dung thực hiện tại địa bàn xã, phường, đặc khu; Mục 15 và 16 các nội dung thực hiện tại địa bàn tỉnh.</v>
      </c>
      <c r="C256" s="946"/>
      <c r="D256" s="946"/>
      <c r="E256" s="946"/>
      <c r="F256" s="946"/>
      <c r="G256" s="946"/>
      <c r="H256" s="946"/>
      <c r="I256" s="946"/>
      <c r="J256" s="946"/>
      <c r="K256" s="946"/>
      <c r="L256" s="946"/>
      <c r="M256" s="946"/>
      <c r="N256" s="465"/>
      <c r="O256" s="465"/>
      <c r="P256" s="465"/>
    </row>
    <row r="257" spans="1:11" s="24" customFormat="1">
      <c r="A257" s="24" t="s">
        <v>303</v>
      </c>
      <c r="B257" s="274"/>
      <c r="C257" s="275"/>
      <c r="D257" s="275"/>
      <c r="E257" s="275"/>
      <c r="F257" s="275"/>
      <c r="G257" s="276"/>
      <c r="H257" s="277"/>
      <c r="I257" s="277"/>
      <c r="J257" s="742"/>
      <c r="K257" s="277"/>
    </row>
    <row r="258" spans="1:11" s="23" customFormat="1">
      <c r="A258" s="952" t="s">
        <v>23</v>
      </c>
      <c r="B258" s="478" t="s">
        <v>44</v>
      </c>
      <c r="C258" s="944" t="s">
        <v>38</v>
      </c>
      <c r="D258" s="479"/>
      <c r="E258" s="944" t="s">
        <v>16</v>
      </c>
      <c r="F258" s="479" t="s">
        <v>96</v>
      </c>
      <c r="G258" s="476" t="s">
        <v>40</v>
      </c>
      <c r="H258" s="945" t="s">
        <v>309</v>
      </c>
      <c r="I258" s="945" t="s">
        <v>417</v>
      </c>
      <c r="J258" s="759" t="s">
        <v>418</v>
      </c>
      <c r="K258" s="710" t="s">
        <v>310</v>
      </c>
    </row>
    <row r="259" spans="1:11" s="23" customFormat="1">
      <c r="A259" s="952"/>
      <c r="B259" s="478"/>
      <c r="C259" s="944"/>
      <c r="D259" s="479"/>
      <c r="E259" s="944"/>
      <c r="F259" s="479" t="s">
        <v>24</v>
      </c>
      <c r="G259" s="482" t="s">
        <v>39</v>
      </c>
      <c r="H259" s="943"/>
      <c r="I259" s="943"/>
      <c r="J259" s="729" t="s">
        <v>419</v>
      </c>
      <c r="K259" s="463" t="s">
        <v>419</v>
      </c>
    </row>
    <row r="260" spans="1:11" s="51" customFormat="1" ht="20.25" customHeight="1">
      <c r="A260" s="604" t="str">
        <f>L_CViec!A202</f>
        <v>IV</v>
      </c>
      <c r="B260" s="972" t="str">
        <f>L_CViec!B202</f>
        <v>Đăng ký, cấp đổi Giấy chứng nhận đồng loạt tại xã, phường</v>
      </c>
      <c r="C260" s="972"/>
      <c r="D260" s="972"/>
      <c r="E260" s="972"/>
      <c r="F260" s="972"/>
      <c r="G260" s="972"/>
      <c r="H260" s="972"/>
      <c r="I260" s="972"/>
      <c r="J260" s="717"/>
      <c r="K260" s="464"/>
    </row>
    <row r="261" spans="1:11" s="51" customFormat="1">
      <c r="A261" s="954" t="s">
        <v>127</v>
      </c>
      <c r="B261" s="955" t="s">
        <v>867</v>
      </c>
      <c r="C261" s="507"/>
      <c r="D261" s="507"/>
      <c r="E261" s="508" t="s">
        <v>311</v>
      </c>
      <c r="F261" s="954">
        <v>1</v>
      </c>
      <c r="G261" s="507">
        <f>L_CViec!AG203</f>
        <v>0</v>
      </c>
      <c r="H261" s="509">
        <f>L_CViec!AH203</f>
        <v>0</v>
      </c>
      <c r="I261" s="509">
        <f>SUM(I273,I282,I283,I290,I291,I292,I293,I295,I298,I302,I303,I304,I306,I308,I310,I312,I318,I319,I286,I287,I315,I316,I317)</f>
        <v>640295.6375999999</v>
      </c>
      <c r="J261" s="509">
        <f>SUM(J273,J282,J283,J290,J291,J292,J293,J295,J298,J302,J303,J304,J306,J308,J310,J312,J318,J319,J286,J287,J315,J316,J317)</f>
        <v>18857.987499999992</v>
      </c>
      <c r="K261" s="464">
        <f>SUM(K273,K280,K282,K289,K291,K292,K293,K295,K298,K301,K303,K304,K306,K308,K310,K312,K318,K319)</f>
        <v>950677.59615384624</v>
      </c>
    </row>
    <row r="262" spans="1:11" s="51" customFormat="1" ht="15" customHeight="1">
      <c r="A262" s="954"/>
      <c r="B262" s="955"/>
      <c r="C262" s="507"/>
      <c r="D262" s="507"/>
      <c r="E262" s="508" t="s">
        <v>197</v>
      </c>
      <c r="F262" s="954"/>
      <c r="G262" s="507"/>
      <c r="H262" s="509"/>
      <c r="I262" s="509">
        <f>I275+I278</f>
        <v>850.83187499999997</v>
      </c>
      <c r="J262" s="509">
        <f>J275+J278</f>
        <v>40.13942307692308</v>
      </c>
      <c r="K262" s="464">
        <f>SUM(K$274)</f>
        <v>1684.6153846153848</v>
      </c>
    </row>
    <row r="263" spans="1:11" s="51" customFormat="1" ht="15" customHeight="1">
      <c r="A263" s="954"/>
      <c r="B263" s="955"/>
      <c r="C263" s="507"/>
      <c r="D263" s="507"/>
      <c r="E263" s="508" t="s">
        <v>311</v>
      </c>
      <c r="F263" s="954">
        <v>2</v>
      </c>
      <c r="G263" s="507"/>
      <c r="H263" s="509"/>
      <c r="I263" s="509">
        <f>I261</f>
        <v>640295.6375999999</v>
      </c>
      <c r="J263" s="509">
        <f>J261</f>
        <v>18857.987499999992</v>
      </c>
      <c r="K263" s="464">
        <f>K261</f>
        <v>950677.59615384624</v>
      </c>
    </row>
    <row r="264" spans="1:11" s="51" customFormat="1" ht="15" customHeight="1">
      <c r="A264" s="954"/>
      <c r="B264" s="955"/>
      <c r="C264" s="507"/>
      <c r="D264" s="507"/>
      <c r="E264" s="508" t="s">
        <v>197</v>
      </c>
      <c r="F264" s="954"/>
      <c r="G264" s="507"/>
      <c r="H264" s="509"/>
      <c r="I264" s="509">
        <f t="shared" ref="I264:J266" si="54">I262</f>
        <v>850.83187499999997</v>
      </c>
      <c r="J264" s="707">
        <f t="shared" si="54"/>
        <v>40.13942307692308</v>
      </c>
      <c r="K264" s="464">
        <f>K274</f>
        <v>1684.6153846153848</v>
      </c>
    </row>
    <row r="265" spans="1:11" s="51" customFormat="1" ht="15" customHeight="1">
      <c r="A265" s="954"/>
      <c r="B265" s="955"/>
      <c r="C265" s="507"/>
      <c r="D265" s="507"/>
      <c r="E265" s="508" t="s">
        <v>311</v>
      </c>
      <c r="F265" s="954">
        <v>3</v>
      </c>
      <c r="G265" s="507"/>
      <c r="H265" s="509"/>
      <c r="I265" s="509">
        <f t="shared" si="54"/>
        <v>640295.6375999999</v>
      </c>
      <c r="J265" s="509">
        <f t="shared" si="54"/>
        <v>18857.987499999992</v>
      </c>
      <c r="K265" s="464">
        <f>K263</f>
        <v>950677.59615384624</v>
      </c>
    </row>
    <row r="266" spans="1:11" s="51" customFormat="1" ht="15" customHeight="1">
      <c r="A266" s="954"/>
      <c r="B266" s="955"/>
      <c r="C266" s="507"/>
      <c r="D266" s="507"/>
      <c r="E266" s="508" t="s">
        <v>197</v>
      </c>
      <c r="F266" s="954"/>
      <c r="G266" s="507"/>
      <c r="H266" s="509"/>
      <c r="I266" s="509">
        <f t="shared" si="54"/>
        <v>850.83187499999997</v>
      </c>
      <c r="J266" s="707">
        <f t="shared" si="54"/>
        <v>40.13942307692308</v>
      </c>
      <c r="K266" s="464">
        <f>K274</f>
        <v>1684.6153846153848</v>
      </c>
    </row>
    <row r="267" spans="1:11" s="829" customFormat="1" ht="15" customHeight="1">
      <c r="A267" s="971" t="s">
        <v>127</v>
      </c>
      <c r="B267" s="970" t="s">
        <v>868</v>
      </c>
      <c r="C267" s="826"/>
      <c r="D267" s="826"/>
      <c r="E267" s="827" t="s">
        <v>311</v>
      </c>
      <c r="F267" s="971">
        <v>1</v>
      </c>
      <c r="G267" s="826"/>
      <c r="H267" s="767"/>
      <c r="I267" s="767">
        <f>SUM(I273,I282,I283,I290,I291,I292,I293,I295,I298,I302,I303,I306,I308,I310,I312,I318,I319,I286,I287,I315,I316,I317)</f>
        <v>568190.6375999999</v>
      </c>
      <c r="J267" s="767">
        <f>SUM(J273,J282,J283,J290,J291,J292,J293,J295,J298,J302,J303,J306,J308,J310,J312,J318,J319,J286,J287,J315,J316,J317)</f>
        <v>16911.833653846148</v>
      </c>
      <c r="K267" s="832"/>
    </row>
    <row r="268" spans="1:11" s="829" customFormat="1" ht="15" customHeight="1">
      <c r="A268" s="971"/>
      <c r="B268" s="970"/>
      <c r="C268" s="826"/>
      <c r="D268" s="826"/>
      <c r="E268" s="827" t="s">
        <v>197</v>
      </c>
      <c r="F268" s="971"/>
      <c r="G268" s="826"/>
      <c r="H268" s="767"/>
      <c r="I268" s="767">
        <f>I275+I278</f>
        <v>850.83187499999997</v>
      </c>
      <c r="J268" s="767">
        <f>J275+J278</f>
        <v>40.13942307692308</v>
      </c>
      <c r="K268" s="832"/>
    </row>
    <row r="269" spans="1:11" s="829" customFormat="1" ht="15" customHeight="1">
      <c r="A269" s="971"/>
      <c r="B269" s="970"/>
      <c r="C269" s="826"/>
      <c r="D269" s="826"/>
      <c r="E269" s="827" t="s">
        <v>311</v>
      </c>
      <c r="F269" s="971">
        <v>2</v>
      </c>
      <c r="G269" s="826"/>
      <c r="H269" s="767"/>
      <c r="I269" s="767">
        <f>SUM(I273,I282,I283,I290,I291,I292,I293,I295,I298,I302,I303,I306,I308,I310,I312,I318,I319,I286,I287,I315,I316,I317)</f>
        <v>568190.6375999999</v>
      </c>
      <c r="J269" s="767">
        <f>SUM(J273,J282,J283,J290,J291,J292,J293,J295,J298,J302,J303,J306,J308,J310,J312,J318,J319,J286,J287,J315,J316,J317)</f>
        <v>16911.833653846148</v>
      </c>
      <c r="K269" s="832"/>
    </row>
    <row r="270" spans="1:11" s="829" customFormat="1" ht="15" customHeight="1">
      <c r="A270" s="971"/>
      <c r="B270" s="970"/>
      <c r="C270" s="826"/>
      <c r="D270" s="826"/>
      <c r="E270" s="827" t="s">
        <v>197</v>
      </c>
      <c r="F270" s="971"/>
      <c r="G270" s="826"/>
      <c r="H270" s="767"/>
      <c r="I270" s="767">
        <f>I275+I278</f>
        <v>850.83187499999997</v>
      </c>
      <c r="J270" s="767">
        <f>J275+J278</f>
        <v>40.13942307692308</v>
      </c>
      <c r="K270" s="832"/>
    </row>
    <row r="271" spans="1:11" s="829" customFormat="1" ht="15" customHeight="1">
      <c r="A271" s="971"/>
      <c r="B271" s="970"/>
      <c r="C271" s="826"/>
      <c r="D271" s="826"/>
      <c r="E271" s="827" t="s">
        <v>311</v>
      </c>
      <c r="F271" s="971">
        <v>3</v>
      </c>
      <c r="G271" s="826"/>
      <c r="H271" s="767"/>
      <c r="I271" s="767">
        <f>SUM(I273,I282,I283,I290,I291,I292,I293,I295,I298,I302,I303,I306,I308,I310,I312,I318,I319,I286,I287,I315,I316,I317)</f>
        <v>568190.6375999999</v>
      </c>
      <c r="J271" s="767">
        <f>SUM(J273,J282,J283,J290,J291,J292,J293,J295,J298,J302,J303,J306,J308,J310,J312,J318,J319,J286,J287,J315,J316,J317)</f>
        <v>16911.833653846148</v>
      </c>
      <c r="K271" s="832"/>
    </row>
    <row r="272" spans="1:11" s="829" customFormat="1" ht="15" customHeight="1">
      <c r="A272" s="971"/>
      <c r="B272" s="970"/>
      <c r="C272" s="826"/>
      <c r="D272" s="826"/>
      <c r="E272" s="827" t="s">
        <v>197</v>
      </c>
      <c r="F272" s="971"/>
      <c r="G272" s="826"/>
      <c r="H272" s="767"/>
      <c r="I272" s="767">
        <f>I275+I278</f>
        <v>850.83187499999997</v>
      </c>
      <c r="J272" s="767">
        <f>J275+J278</f>
        <v>40.13942307692308</v>
      </c>
      <c r="K272" s="832"/>
    </row>
    <row r="273" spans="1:11" s="50" customFormat="1">
      <c r="A273" s="487" t="str">
        <f>L_CViec!A204</f>
        <v>1</v>
      </c>
      <c r="B273" s="494" t="str">
        <f>L_CViec!B204</f>
        <v>Công việc chuẩn bị</v>
      </c>
      <c r="C273" s="494">
        <f>L_CViec!AD204</f>
        <v>0</v>
      </c>
      <c r="D273" s="494"/>
      <c r="E273" s="487" t="s">
        <v>311</v>
      </c>
      <c r="F273" s="487">
        <f>L_CViec!AF204</f>
        <v>0</v>
      </c>
      <c r="G273" s="494">
        <f>L_CViec!AG204</f>
        <v>0</v>
      </c>
      <c r="H273" s="493">
        <f>L_CViec!AH204</f>
        <v>0</v>
      </c>
      <c r="I273" s="617">
        <f>SUM(I275,I277,I278,I281)</f>
        <v>9999.1537500000013</v>
      </c>
      <c r="J273" s="717">
        <f>SUM(J275,J277,J278,J281)</f>
        <v>295.57211538461536</v>
      </c>
      <c r="K273" s="465">
        <f>SUM(K275,K277,K278,K281)</f>
        <v>947.59615384615392</v>
      </c>
    </row>
    <row r="274" spans="1:11" s="50" customFormat="1">
      <c r="A274" s="487" t="str">
        <f>L_CViec!A205</f>
        <v>1.1</v>
      </c>
      <c r="B274" s="494" t="str">
        <f>L_CViec!B205</f>
        <v>Chuẩn bị địa điểm đăng ký</v>
      </c>
      <c r="C274" s="487" t="str">
        <f>L_CViec!AD205</f>
        <v>Điểm</v>
      </c>
      <c r="D274" s="487">
        <f>L_CViec!AC205</f>
        <v>2</v>
      </c>
      <c r="E274" s="487" t="str">
        <f>L_CViec!AE205</f>
        <v>1KS2, 1KTV4</v>
      </c>
      <c r="F274" s="490" t="str">
        <f>L_CViec!AF205</f>
        <v>1-3</v>
      </c>
      <c r="G274" s="487">
        <f>L_CViec!AG205</f>
        <v>2</v>
      </c>
      <c r="H274" s="493">
        <f>L_CViec!AH205</f>
        <v>616497.75</v>
      </c>
      <c r="I274" s="493">
        <f>G274*H274*10/8000</f>
        <v>1541.244375</v>
      </c>
      <c r="J274" s="717">
        <f>$D274*G274*L_CBac!$J$68*10/20000</f>
        <v>19.461538461538463</v>
      </c>
      <c r="K274" s="465">
        <f>K276</f>
        <v>1684.6153846153848</v>
      </c>
    </row>
    <row r="275" spans="1:11" s="66" customFormat="1">
      <c r="A275" s="487">
        <f>L_CViec!A206</f>
        <v>0</v>
      </c>
      <c r="B275" s="494">
        <f>L_CViec!B206</f>
        <v>0</v>
      </c>
      <c r="C275" s="487">
        <f>L_CViec!AD206</f>
        <v>0</v>
      </c>
      <c r="D275" s="487">
        <f>L_CViec!AC206</f>
        <v>1</v>
      </c>
      <c r="E275" s="487" t="str">
        <f>L_CViec!AE206</f>
        <v>LĐPT</v>
      </c>
      <c r="F275" s="490">
        <f>L_CViec!AF206</f>
        <v>0</v>
      </c>
      <c r="G275" s="487">
        <f>L_CViec!AG206</f>
        <v>2</v>
      </c>
      <c r="H275" s="493">
        <f>L_CViec!AH206</f>
        <v>151259</v>
      </c>
      <c r="I275" s="627">
        <f>G275*H275*10/8000</f>
        <v>378.14749999999998</v>
      </c>
      <c r="J275" s="717">
        <f>$D275*G275*L_CBac!$J$68*10/20000</f>
        <v>9.7307692307692317</v>
      </c>
      <c r="K275" s="465">
        <f>$D275*$G275*L_CBac!$J$69*10/8000</f>
        <v>70.192307692307693</v>
      </c>
    </row>
    <row r="276" spans="1:11" s="66" customFormat="1" ht="39">
      <c r="A276" s="487" t="str">
        <f>L_CViec!A207</f>
        <v>1.2</v>
      </c>
      <c r="B276" s="494" t="str">
        <f>L_CViec!B207</f>
        <v xml:space="preserve">Chuẩn bị các tài liệu, bản đồ, mẫu đơn đề nghị đăng ký, cấp GCN, danh sách các trường hợp sử dụng đất theo địa điểm (theo xã, thị trấn) </v>
      </c>
      <c r="C276" s="487" t="str">
        <f>L_CViec!AD207</f>
        <v>Bộ tài liệu</v>
      </c>
      <c r="D276" s="487">
        <f>L_CViec!AC207</f>
        <v>3</v>
      </c>
      <c r="E276" s="487" t="str">
        <f>L_CViec!AE207</f>
        <v>1KS3, 1KS2, 1KTV4</v>
      </c>
      <c r="F276" s="490" t="str">
        <f>L_CViec!AF207</f>
        <v>1-3</v>
      </c>
      <c r="G276" s="487">
        <f>L_CViec!AG207</f>
        <v>16</v>
      </c>
      <c r="H276" s="493">
        <f>L_CViec!AH207</f>
        <v>977022.75</v>
      </c>
      <c r="I276" s="493">
        <f>G276*H276/8000</f>
        <v>1954.0454999999999</v>
      </c>
      <c r="J276" s="717">
        <f>$D276*G276*L_CBac!$J$68*10/20000</f>
        <v>233.53846153846155</v>
      </c>
      <c r="K276" s="465">
        <f>$D276*$G276*L_CBac!$J$69*10/8000</f>
        <v>1684.6153846153848</v>
      </c>
    </row>
    <row r="277" spans="1:11" s="66" customFormat="1" ht="26">
      <c r="A277" s="487" t="str">
        <f>L_CViec!A208</f>
        <v>1.3</v>
      </c>
      <c r="B277" s="494" t="str">
        <f>L_CViec!B208</f>
        <v>Tổ chức phổ biến, tuyên truyền chủ trương, chính sách về đăng ký, cấp GCN</v>
      </c>
      <c r="C277" s="487" t="str">
        <f>L_CViec!AD208</f>
        <v>Cuộc</v>
      </c>
      <c r="D277" s="487">
        <f>L_CViec!AC208</f>
        <v>1</v>
      </c>
      <c r="E277" s="487" t="str">
        <f>L_CViec!AE208</f>
        <v>1KS3</v>
      </c>
      <c r="F277" s="490" t="str">
        <f>L_CViec!AF208</f>
        <v>1-3</v>
      </c>
      <c r="G277" s="487">
        <f>L_CViec!AG208</f>
        <v>2.5</v>
      </c>
      <c r="H277" s="493">
        <f>L_CViec!AH208</f>
        <v>360525</v>
      </c>
      <c r="I277" s="627">
        <f>G277*H277*10/8000</f>
        <v>1126.640625</v>
      </c>
      <c r="J277" s="717">
        <f>$D277*G277*L_CBac!$J$68*10/20000</f>
        <v>12.163461538461538</v>
      </c>
      <c r="K277" s="465">
        <f>$D277*$G277*L_CBac!$J$69*10/8000</f>
        <v>87.740384615384613</v>
      </c>
    </row>
    <row r="278" spans="1:11" s="66" customFormat="1">
      <c r="A278" s="487">
        <f>L_CViec!A209</f>
        <v>0</v>
      </c>
      <c r="B278" s="494">
        <f>L_CViec!B209</f>
        <v>0</v>
      </c>
      <c r="C278" s="487">
        <f>L_CViec!AD209</f>
        <v>0</v>
      </c>
      <c r="D278" s="487">
        <f>L_CViec!AC209</f>
        <v>1</v>
      </c>
      <c r="E278" s="487" t="str">
        <f>L_CViec!AE209</f>
        <v>LĐPT</v>
      </c>
      <c r="F278" s="490">
        <f>L_CViec!AF209</f>
        <v>0</v>
      </c>
      <c r="G278" s="487">
        <f>L_CViec!AG209</f>
        <v>2.5</v>
      </c>
      <c r="H278" s="493">
        <f>L_CViec!AH209</f>
        <v>151259</v>
      </c>
      <c r="I278" s="627">
        <f>G278*H278*10/8000</f>
        <v>472.68437499999999</v>
      </c>
      <c r="J278" s="717">
        <f>$D278*G278*L_CBac!$J$68*10/8000</f>
        <v>30.408653846153847</v>
      </c>
      <c r="K278" s="465">
        <f>$D278*$G278*L_CBac!$J$69*10/8000</f>
        <v>87.740384615384613</v>
      </c>
    </row>
    <row r="279" spans="1:11" s="66" customFormat="1">
      <c r="A279" s="487" t="str">
        <f>L_CViec!A210</f>
        <v>1.4</v>
      </c>
      <c r="B279" s="494" t="str">
        <f>L_CViec!B210</f>
        <v>Hướng dẫn lập hồ sơ đề nghị đăng ký, cấp đổi GCN</v>
      </c>
      <c r="C279" s="487">
        <f>L_CViec!AD210</f>
        <v>0</v>
      </c>
      <c r="D279" s="487">
        <f>L_CViec!AC210</f>
        <v>0</v>
      </c>
      <c r="E279" s="487">
        <f>L_CViec!AE210</f>
        <v>0</v>
      </c>
      <c r="F279" s="490">
        <f>L_CViec!AF210</f>
        <v>0</v>
      </c>
      <c r="G279" s="487">
        <f>L_CViec!AG210</f>
        <v>0</v>
      </c>
      <c r="H279" s="493">
        <f>L_CViec!AH210</f>
        <v>0</v>
      </c>
      <c r="I279" s="493">
        <f>G279*H279*10/8000</f>
        <v>0</v>
      </c>
      <c r="J279" s="717"/>
      <c r="K279" s="465"/>
    </row>
    <row r="280" spans="1:11" s="50" customFormat="1">
      <c r="A280" s="487" t="str">
        <f>L_CViec!A211</f>
        <v>1.4.1</v>
      </c>
      <c r="B280" s="494" t="str">
        <f>L_CViec!B211</f>
        <v>Theo hình thức trực tiếp</v>
      </c>
      <c r="C280" s="487" t="str">
        <f>L_CViec!AD211</f>
        <v>Hồ sơ</v>
      </c>
      <c r="D280" s="487">
        <f>L_CViec!AC211</f>
        <v>1</v>
      </c>
      <c r="E280" s="487" t="str">
        <f>L_CViec!AE211</f>
        <v>1KS2</v>
      </c>
      <c r="F280" s="490" t="str">
        <f>L_CViec!AF211</f>
        <v>1-3</v>
      </c>
      <c r="G280" s="487">
        <f>L_CViec!AG211</f>
        <v>0.05</v>
      </c>
      <c r="H280" s="493">
        <f>L_CViec!AH211</f>
        <v>320867.25</v>
      </c>
      <c r="I280" s="493">
        <f t="shared" ref="I280:I288" si="55">G280*H280</f>
        <v>16043.362500000001</v>
      </c>
      <c r="J280" s="717">
        <f>$D280*G280*L_CBac!$J$68</f>
        <v>486.53846153846155</v>
      </c>
      <c r="K280" s="465">
        <f>$D280*$G280*L_CBac!$J$69</f>
        <v>1403.846153846154</v>
      </c>
    </row>
    <row r="281" spans="1:11" s="66" customFormat="1">
      <c r="A281" s="487" t="str">
        <f>L_CViec!A212</f>
        <v>1.4.2</v>
      </c>
      <c r="B281" s="494" t="str">
        <f>L_CViec!B212</f>
        <v>Theo hình thức trực tuyến</v>
      </c>
      <c r="C281" s="487" t="str">
        <f>L_CViec!AD212</f>
        <v>Hồ sơ</v>
      </c>
      <c r="D281" s="487">
        <f>L_CViec!AC212</f>
        <v>1</v>
      </c>
      <c r="E281" s="487" t="str">
        <f>L_CViec!AE212</f>
        <v>1KS2</v>
      </c>
      <c r="F281" s="490" t="str">
        <f>L_CViec!AF212</f>
        <v>1-3</v>
      </c>
      <c r="G281" s="487">
        <f>L_CViec!AG212</f>
        <v>2.5000000000000001E-2</v>
      </c>
      <c r="H281" s="493">
        <f>L_CViec!AH212</f>
        <v>320867.25</v>
      </c>
      <c r="I281" s="627">
        <f t="shared" si="55"/>
        <v>8021.6812500000005</v>
      </c>
      <c r="J281" s="717">
        <f>$D281*G281*L_CBac!$J$68</f>
        <v>243.26923076923077</v>
      </c>
      <c r="K281" s="465">
        <f>$D281*$G281*L_CBac!$J$69</f>
        <v>701.92307692307702</v>
      </c>
    </row>
    <row r="282" spans="1:11" s="66" customFormat="1" ht="39">
      <c r="A282" s="487" t="str">
        <f>L_CViec!A213</f>
        <v>2</v>
      </c>
      <c r="B282" s="494" t="str">
        <f>L_CViec!B213</f>
        <v>Nhận, kiểm tra tính đầy đủ của thành phần hồ sơ và cấp Giấy tiếp nhận hồ sơ và hẹn trả kết quả hoặc trả lại hồ sơ, vào sổ theo dõi nhận, trả hồ sơ (theo hình thức trực tiếp, trực tuyến)</v>
      </c>
      <c r="C282" s="487" t="str">
        <f>L_CViec!AD213</f>
        <v>Hồ sơ</v>
      </c>
      <c r="D282" s="487">
        <f>L_CViec!AC213</f>
        <v>1</v>
      </c>
      <c r="E282" s="487" t="str">
        <f>L_CViec!AE213</f>
        <v>1KS2</v>
      </c>
      <c r="F282" s="490" t="str">
        <f>L_CViec!AF213</f>
        <v>1-3</v>
      </c>
      <c r="G282" s="487">
        <f>L_CViec!AG213</f>
        <v>0.05</v>
      </c>
      <c r="H282" s="493">
        <f>L_CViec!AH213</f>
        <v>320867.25</v>
      </c>
      <c r="I282" s="617">
        <f t="shared" si="55"/>
        <v>16043.362500000001</v>
      </c>
      <c r="J282" s="717">
        <f>$D282*G282*L_CBac!$J$68</f>
        <v>486.53846153846155</v>
      </c>
      <c r="K282" s="465">
        <f>$D282*$G282*L_CBac!$J$69</f>
        <v>1403.846153846154</v>
      </c>
    </row>
    <row r="283" spans="1:11" s="50" customFormat="1" ht="26">
      <c r="A283" s="487" t="str">
        <f>L_CViec!A214</f>
        <v>3</v>
      </c>
      <c r="B283" s="494" t="str">
        <f>L_CViec!B214</f>
        <v>Tạo tệp (File) dữ liệu hồ sơ số và nhập thông tin do người sử dụng đất kê khai, đăng ký</v>
      </c>
      <c r="C283" s="487" t="str">
        <f>L_CViec!AD214</f>
        <v>Thửa</v>
      </c>
      <c r="D283" s="487">
        <f>L_CViec!AC214</f>
        <v>1</v>
      </c>
      <c r="E283" s="487" t="str">
        <f>L_CViec!AE214</f>
        <v>1KS3</v>
      </c>
      <c r="F283" s="490" t="str">
        <f>L_CViec!AF214</f>
        <v>1-3</v>
      </c>
      <c r="G283" s="487">
        <f>L_CViec!AG214</f>
        <v>0.107</v>
      </c>
      <c r="H283" s="493">
        <f>L_CViec!AH214</f>
        <v>360525</v>
      </c>
      <c r="I283" s="617">
        <f t="shared" si="55"/>
        <v>38576.174999999996</v>
      </c>
      <c r="J283" s="717">
        <f>$D283*G283*L_CBac!$J$68</f>
        <v>1041.1923076923076</v>
      </c>
      <c r="K283" s="465">
        <f>$D283*$G283*L_CBac!$J$69</f>
        <v>3004.2307692307695</v>
      </c>
    </row>
    <row r="284" spans="1:11" s="50" customFormat="1" ht="26">
      <c r="A284" s="487" t="str">
        <f>L_CViec!A215</f>
        <v>4</v>
      </c>
      <c r="B284" s="494" t="str">
        <f>L_CViec!B215</f>
        <v>Quét giấy tờ pháp lý về quyền sử dụng đất, quyền sở hữu nhà ở và tài sản khác gắn liền với đất</v>
      </c>
      <c r="C284" s="487">
        <f>L_CViec!AD215</f>
        <v>0</v>
      </c>
      <c r="D284" s="487">
        <f>L_CViec!AC215</f>
        <v>0</v>
      </c>
      <c r="E284" s="487">
        <f>L_CViec!AE215</f>
        <v>0</v>
      </c>
      <c r="F284" s="490">
        <f>L_CViec!AF215</f>
        <v>0</v>
      </c>
      <c r="G284" s="487">
        <f>L_CViec!AG215</f>
        <v>0</v>
      </c>
      <c r="H284" s="493">
        <f>L_CViec!AH215</f>
        <v>0</v>
      </c>
      <c r="I284" s="493">
        <f t="shared" si="55"/>
        <v>0</v>
      </c>
      <c r="J284" s="717">
        <f>$D284*G284*L_CBac!$J$68</f>
        <v>0</v>
      </c>
      <c r="K284" s="465">
        <f>$D284*$G284*L_CBac!$J$69</f>
        <v>0</v>
      </c>
    </row>
    <row r="285" spans="1:11" s="50" customFormat="1">
      <c r="A285" s="487" t="str">
        <f>L_CViec!A216</f>
        <v>4.1</v>
      </c>
      <c r="B285" s="494" t="str">
        <f>L_CViec!B216</f>
        <v>Quét trang A3</v>
      </c>
      <c r="C285" s="487" t="str">
        <f>L_CViec!AD216</f>
        <v>Trang</v>
      </c>
      <c r="D285" s="487">
        <f>L_CViec!AC216</f>
        <v>1</v>
      </c>
      <c r="E285" s="487" t="str">
        <f>L_CViec!AE216</f>
        <v>1KS1</v>
      </c>
      <c r="F285" s="490" t="str">
        <f>L_CViec!AF216</f>
        <v>1-3</v>
      </c>
      <c r="G285" s="487">
        <f>L_CViec!AG216</f>
        <v>1.6E-2</v>
      </c>
      <c r="H285" s="493">
        <f>L_CViec!AH216</f>
        <v>281209.5</v>
      </c>
      <c r="I285" s="493">
        <f t="shared" si="55"/>
        <v>4499.3519999999999</v>
      </c>
      <c r="J285" s="717">
        <f>$D285*G285*L_CBac!$J$68</f>
        <v>155.69230769230768</v>
      </c>
      <c r="K285" s="465">
        <f>$D285*$G285*L_CBac!$J$69</f>
        <v>449.23076923076928</v>
      </c>
    </row>
    <row r="286" spans="1:11" s="66" customFormat="1">
      <c r="A286" s="487" t="str">
        <f>L_CViec!A217</f>
        <v>4.2</v>
      </c>
      <c r="B286" s="494" t="str">
        <f>L_CViec!B217</f>
        <v>Quét trang A4</v>
      </c>
      <c r="C286" s="487" t="str">
        <f>L_CViec!AD217</f>
        <v>Trang</v>
      </c>
      <c r="D286" s="487">
        <f>L_CViec!AC217</f>
        <v>1</v>
      </c>
      <c r="E286" s="487" t="str">
        <f>L_CViec!AE217</f>
        <v>1KS1</v>
      </c>
      <c r="F286" s="490" t="str">
        <f>L_CViec!AF217</f>
        <v>1-3</v>
      </c>
      <c r="G286" s="487">
        <f>L_CViec!AG217</f>
        <v>8.0000000000000002E-3</v>
      </c>
      <c r="H286" s="493">
        <f>L_CViec!AH217</f>
        <v>281209.5</v>
      </c>
      <c r="I286" s="493">
        <f t="shared" si="55"/>
        <v>2249.6759999999999</v>
      </c>
      <c r="J286" s="717">
        <f>$D286*G286*L_CBac!$J$68</f>
        <v>77.84615384615384</v>
      </c>
      <c r="K286" s="465">
        <f>$D286*$G286*L_CBac!$J$69</f>
        <v>224.61538461538464</v>
      </c>
    </row>
    <row r="287" spans="1:11" s="66" customFormat="1" ht="26">
      <c r="A287" s="487" t="str">
        <f>L_CViec!A218</f>
        <v>5</v>
      </c>
      <c r="B287" s="494" t="str">
        <f>L_CViec!B218</f>
        <v>Xử lý các tệp tin quét thành tệp (File) hồ sơ quét dạng số của thửa đất, lưu trữ dưới khuôn dạng tệp tin PDF</v>
      </c>
      <c r="C287" s="487" t="str">
        <f>L_CViec!AD218</f>
        <v>Trang</v>
      </c>
      <c r="D287" s="487">
        <f>L_CViec!AC218</f>
        <v>1</v>
      </c>
      <c r="E287" s="487" t="str">
        <f>L_CViec!AE218</f>
        <v>1KS1</v>
      </c>
      <c r="F287" s="490" t="str">
        <f>L_CViec!AF218</f>
        <v>1-3</v>
      </c>
      <c r="G287" s="487">
        <f>L_CViec!AG218</f>
        <v>4.0000000000000001E-3</v>
      </c>
      <c r="H287" s="493">
        <f>L_CViec!AH218</f>
        <v>281209.5</v>
      </c>
      <c r="I287" s="493">
        <f t="shared" si="55"/>
        <v>1124.838</v>
      </c>
      <c r="J287" s="717">
        <f>$D287*G287*L_CBac!$J$68</f>
        <v>38.92307692307692</v>
      </c>
      <c r="K287" s="465">
        <f>$D287*$G287*L_CBac!$J$69</f>
        <v>112.30769230769232</v>
      </c>
    </row>
    <row r="288" spans="1:11" s="50" customFormat="1">
      <c r="A288" s="487">
        <f>L_CViec!A219</f>
        <v>6</v>
      </c>
      <c r="B288" s="494" t="str">
        <f>L_CViec!B219</f>
        <v>Chuyển hồ sơ đến Văn phòng đăng ký đất đai</v>
      </c>
      <c r="C288" s="487">
        <f>L_CViec!AD219</f>
        <v>0</v>
      </c>
      <c r="D288" s="487">
        <f>L_CViec!AC219</f>
        <v>0</v>
      </c>
      <c r="E288" s="487">
        <f>L_CViec!AE219</f>
        <v>0</v>
      </c>
      <c r="F288" s="490">
        <f>L_CViec!AF219</f>
        <v>0</v>
      </c>
      <c r="G288" s="487">
        <f>L_CViec!AG219</f>
        <v>0</v>
      </c>
      <c r="H288" s="493">
        <f>L_CViec!AH219</f>
        <v>0</v>
      </c>
      <c r="I288" s="493">
        <f t="shared" si="55"/>
        <v>0</v>
      </c>
      <c r="J288" s="717">
        <f>$D288*G288*L_CBac!$J$68</f>
        <v>0</v>
      </c>
      <c r="K288" s="465">
        <f>$D288*$G288*L_CBac!$J$69</f>
        <v>0</v>
      </c>
    </row>
    <row r="289" spans="1:11" s="50" customFormat="1">
      <c r="A289" s="487">
        <f>L_CViec!A220</f>
        <v>6.1</v>
      </c>
      <c r="B289" s="494" t="str">
        <f>L_CViec!B220</f>
        <v>Theo hình thức trực tiếp</v>
      </c>
      <c r="C289" s="487" t="str">
        <f>L_CViec!AD220</f>
        <v>Hồ sơ</v>
      </c>
      <c r="D289" s="487">
        <f>L_CViec!AC220</f>
        <v>1</v>
      </c>
      <c r="E289" s="487" t="str">
        <f>L_CViec!AE220</f>
        <v>1KS3</v>
      </c>
      <c r="F289" s="490" t="str">
        <f>L_CViec!AF220</f>
        <v>1-3</v>
      </c>
      <c r="G289" s="487">
        <f>L_CViec!AG220</f>
        <v>5.0000000000000001E-3</v>
      </c>
      <c r="H289" s="493">
        <f>L_CViec!AH220</f>
        <v>360525</v>
      </c>
      <c r="I289" s="493">
        <f t="shared" ref="I289:I296" si="56">G289*H289</f>
        <v>1802.625</v>
      </c>
      <c r="J289" s="717">
        <f>$D289*G289*L_CBac!$J$68</f>
        <v>48.653846153846153</v>
      </c>
      <c r="K289" s="465">
        <f>$D289*$G289*L_CBac!$J$69</f>
        <v>140.38461538461539</v>
      </c>
    </row>
    <row r="290" spans="1:11" s="66" customFormat="1">
      <c r="A290" s="487">
        <f>L_CViec!A221</f>
        <v>6.2</v>
      </c>
      <c r="B290" s="494" t="str">
        <f>L_CViec!B221</f>
        <v>Theo hình thức trực tuyến</v>
      </c>
      <c r="C290" s="487" t="str">
        <f>L_CViec!AD221</f>
        <v>Hồ sơ</v>
      </c>
      <c r="D290" s="487">
        <f>L_CViec!AC221</f>
        <v>1</v>
      </c>
      <c r="E290" s="487" t="str">
        <f>L_CViec!AE221</f>
        <v>1KS3</v>
      </c>
      <c r="F290" s="490" t="str">
        <f>L_CViec!AF221</f>
        <v>1-3</v>
      </c>
      <c r="G290" s="487">
        <f>L_CViec!AG221</f>
        <v>4.0000000000000001E-3</v>
      </c>
      <c r="H290" s="493">
        <f>L_CViec!AH221</f>
        <v>360525</v>
      </c>
      <c r="I290" s="617">
        <f t="shared" si="56"/>
        <v>1442.1000000000001</v>
      </c>
      <c r="J290" s="717">
        <f>$D290*G290*L_CBac!$J$68</f>
        <v>38.92307692307692</v>
      </c>
      <c r="K290" s="465">
        <f>$D290*$G290*L_CBac!$J$69</f>
        <v>112.30769230769232</v>
      </c>
    </row>
    <row r="291" spans="1:11" s="66" customFormat="1">
      <c r="A291" s="487" t="str">
        <f>L_CViec!A222</f>
        <v>7</v>
      </c>
      <c r="B291" s="494" t="str">
        <f>L_CViec!B222</f>
        <v>Kiểm tra hồ sơ đề nghị đăng ký</v>
      </c>
      <c r="C291" s="487" t="str">
        <f>L_CViec!AD222</f>
        <v>Hồ sơ</v>
      </c>
      <c r="D291" s="487">
        <f>L_CViec!AC222</f>
        <v>1</v>
      </c>
      <c r="E291" s="487" t="str">
        <f>L_CViec!AE222</f>
        <v>1KS3</v>
      </c>
      <c r="F291" s="490" t="str">
        <f>L_CViec!AF222</f>
        <v>1-3</v>
      </c>
      <c r="G291" s="487">
        <f>L_CViec!AG222</f>
        <v>0.1</v>
      </c>
      <c r="H291" s="493">
        <f>L_CViec!AH222</f>
        <v>360525</v>
      </c>
      <c r="I291" s="617">
        <f t="shared" si="56"/>
        <v>36052.5</v>
      </c>
      <c r="J291" s="717">
        <f>$D291*G291*L_CBac!$J$68</f>
        <v>973.07692307692309</v>
      </c>
      <c r="K291" s="465">
        <f>$D291*$G291*L_CBac!$J$69</f>
        <v>2807.6923076923081</v>
      </c>
    </row>
    <row r="292" spans="1:11" s="50" customFormat="1" ht="52">
      <c r="A292" s="487">
        <f>L_CViec!A223</f>
        <v>8</v>
      </c>
      <c r="B292" s="494" t="str">
        <f>L_CViec!B223</f>
        <v>Khai thác, sử dụng thông tin về tình trạng hôn nhân trong Cơ sở dữ liệu quốc gia về dân cư hoặc thông báo cho người sử dụng đất, chủ sở hữu tài sản gắn liền với đất nộp bản sao giấy đăng ký kết hôn hoặc giấy tờ khác về tình trạng hôn nhân</v>
      </c>
      <c r="C292" s="487" t="str">
        <f>L_CViec!AD223</f>
        <v>Hồ sơ</v>
      </c>
      <c r="D292" s="487">
        <f>L_CViec!AC223</f>
        <v>1</v>
      </c>
      <c r="E292" s="487" t="str">
        <f>L_CViec!AE223</f>
        <v>1KS3</v>
      </c>
      <c r="F292" s="490" t="str">
        <f>L_CViec!AF223</f>
        <v>1-3</v>
      </c>
      <c r="G292" s="487">
        <f>L_CViec!AG223</f>
        <v>0.1</v>
      </c>
      <c r="H292" s="493">
        <f>L_CViec!AH223</f>
        <v>360525</v>
      </c>
      <c r="I292" s="617">
        <f t="shared" si="56"/>
        <v>36052.5</v>
      </c>
      <c r="J292" s="717">
        <f>$D292*G292*L_CBac!$J$68</f>
        <v>973.07692307692309</v>
      </c>
      <c r="K292" s="465">
        <f>$D292*$G292*L_CBac!$J$69</f>
        <v>2807.6923076923081</v>
      </c>
    </row>
    <row r="293" spans="1:11" s="50" customFormat="1" ht="52">
      <c r="A293" s="487">
        <f>L_CViec!A224</f>
        <v>9</v>
      </c>
      <c r="B293" s="494" t="str">
        <f>L_CViec!B224</f>
        <v>Kiểm tra thực địa và đối chiếu với hồ sơ đăng ký, cấp Giấy chứng nhận đã cấp để xác định đúng vị trí thửa đất (đối với trường hợp vị trí thửa đất trên Giấy chứng nhận đã cấp không chính xác so với vị trí thực tế sử dụng đất)</v>
      </c>
      <c r="C293" s="487" t="str">
        <f>L_CViec!AD224</f>
        <v>Hồ sơ</v>
      </c>
      <c r="D293" s="487">
        <f>L_CViec!AC224</f>
        <v>2</v>
      </c>
      <c r="E293" s="487" t="str">
        <f>L_CViec!AE224</f>
        <v>Nhóm 2 (1KS2, 1KTV4)</v>
      </c>
      <c r="F293" s="490" t="str">
        <f>L_CViec!AF224</f>
        <v>1-3</v>
      </c>
      <c r="G293" s="487">
        <f>L_CViec!AG224</f>
        <v>0.5</v>
      </c>
      <c r="H293" s="493">
        <f>L_CViec!AH224</f>
        <v>616497.75</v>
      </c>
      <c r="I293" s="617">
        <f t="shared" si="56"/>
        <v>308248.875</v>
      </c>
      <c r="J293" s="717">
        <f>$D293*G293*L_CBac!$J$68</f>
        <v>9730.7692307692305</v>
      </c>
      <c r="K293" s="465">
        <f>$D293*$G293*L_CBac!$J$69</f>
        <v>28076.923076923078</v>
      </c>
    </row>
    <row r="294" spans="1:11" s="183" customFormat="1" ht="39">
      <c r="A294" s="487" t="str">
        <f>L_CViec!A225</f>
        <v>10</v>
      </c>
      <c r="B294" s="494" t="str">
        <f>L_CViec!B225</f>
        <v>Trích lục bản đồ địa chính hoặc thông báo cho người sử dụng đất trả chi phí trích đo bản đồ địa chính thửa đất đối với nơi chưa có bản đồ địa chính</v>
      </c>
      <c r="C294" s="487">
        <f>L_CViec!AD225</f>
        <v>0</v>
      </c>
      <c r="D294" s="487">
        <f>L_CViec!AC225</f>
        <v>0</v>
      </c>
      <c r="E294" s="487">
        <f>L_CViec!AE225</f>
        <v>0</v>
      </c>
      <c r="F294" s="490">
        <f>L_CViec!AF225</f>
        <v>0</v>
      </c>
      <c r="G294" s="487">
        <f>L_CViec!AG225</f>
        <v>0</v>
      </c>
      <c r="H294" s="493">
        <f>L_CViec!AH225</f>
        <v>0</v>
      </c>
      <c r="I294" s="493">
        <f t="shared" si="56"/>
        <v>0</v>
      </c>
      <c r="J294" s="717">
        <f>$D294*G294*L_CBac!$J$68</f>
        <v>0</v>
      </c>
      <c r="K294" s="465">
        <f>$D294*$G294*L_CBac!$J$69</f>
        <v>0</v>
      </c>
    </row>
    <row r="295" spans="1:11" s="183" customFormat="1">
      <c r="A295" s="487" t="str">
        <f>L_CViec!A226</f>
        <v>10.1</v>
      </c>
      <c r="B295" s="494" t="str">
        <f>L_CViec!B226</f>
        <v>Trích lục trên bản đồ dạng số</v>
      </c>
      <c r="C295" s="487" t="str">
        <f>L_CViec!AD226</f>
        <v>Hồ sơ</v>
      </c>
      <c r="D295" s="487">
        <f>L_CViec!AC226</f>
        <v>1</v>
      </c>
      <c r="E295" s="487" t="str">
        <f>L_CViec!AE226</f>
        <v>1KS2</v>
      </c>
      <c r="F295" s="490" t="str">
        <f>L_CViec!AF226</f>
        <v>1-3</v>
      </c>
      <c r="G295" s="487">
        <f>L_CViec!AG226</f>
        <v>2.5000000000000001E-2</v>
      </c>
      <c r="H295" s="493">
        <f>L_CViec!AH226</f>
        <v>320867.25</v>
      </c>
      <c r="I295" s="617">
        <f t="shared" si="56"/>
        <v>8021.6812500000005</v>
      </c>
      <c r="J295" s="717">
        <f>$D295*G295*L_CBac!$J$68</f>
        <v>243.26923076923077</v>
      </c>
      <c r="K295" s="465">
        <f>$D295*$G295*L_CBac!$J$69</f>
        <v>701.92307692307702</v>
      </c>
    </row>
    <row r="296" spans="1:11" s="50" customFormat="1">
      <c r="A296" s="487" t="str">
        <f>L_CViec!A227</f>
        <v>10.2</v>
      </c>
      <c r="B296" s="494" t="str">
        <f>L_CViec!B227</f>
        <v>Trích lục trên bản đồ dạng giấy</v>
      </c>
      <c r="C296" s="487" t="str">
        <f>L_CViec!AD227</f>
        <v>Hồ sơ</v>
      </c>
      <c r="D296" s="487">
        <f>L_CViec!AC227</f>
        <v>1</v>
      </c>
      <c r="E296" s="487" t="str">
        <f>L_CViec!AE227</f>
        <v>1KS2</v>
      </c>
      <c r="F296" s="490" t="str">
        <f>L_CViec!AF227</f>
        <v>1-3</v>
      </c>
      <c r="G296" s="487">
        <f>L_CViec!AG227</f>
        <v>0.05</v>
      </c>
      <c r="H296" s="493">
        <f>L_CViec!AH227</f>
        <v>320867.25</v>
      </c>
      <c r="I296" s="493">
        <f t="shared" si="56"/>
        <v>16043.362500000001</v>
      </c>
      <c r="J296" s="717">
        <f>$D296*G296*L_CBac!$J$68</f>
        <v>486.53846153846155</v>
      </c>
      <c r="K296" s="465">
        <f>$D296*$G296*L_CBac!$J$69</f>
        <v>1403.846153846154</v>
      </c>
    </row>
    <row r="297" spans="1:11" s="66" customFormat="1" ht="26">
      <c r="A297" s="487" t="str">
        <f>L_CViec!A228</f>
        <v>11</v>
      </c>
      <c r="B297" s="494" t="str">
        <f>L_CViec!B228</f>
        <v>Lập và gửi Phiếu chuyển thông tin để xác định nghĩa vụ tài chính về đất đai (nếu có)</v>
      </c>
      <c r="C297" s="487">
        <f>L_CViec!AD228</f>
        <v>0</v>
      </c>
      <c r="D297" s="487">
        <f>L_CViec!AC228</f>
        <v>0</v>
      </c>
      <c r="E297" s="487">
        <f>L_CViec!AE228</f>
        <v>0</v>
      </c>
      <c r="F297" s="490">
        <f>L_CViec!AF228</f>
        <v>0</v>
      </c>
      <c r="G297" s="487">
        <f>L_CViec!AG228</f>
        <v>0</v>
      </c>
      <c r="H297" s="493">
        <f>L_CViec!AH228</f>
        <v>0</v>
      </c>
      <c r="I297" s="493">
        <f t="shared" ref="I297:I310" si="57">G297*H297</f>
        <v>0</v>
      </c>
      <c r="J297" s="717">
        <f>$D297*G297*L_CBac!$J$68</f>
        <v>0</v>
      </c>
      <c r="K297" s="465">
        <f>$D297*$G297*L_CBac!$J$69</f>
        <v>0</v>
      </c>
    </row>
    <row r="298" spans="1:11" s="66" customFormat="1">
      <c r="A298" s="487" t="str">
        <f>L_CViec!A229</f>
        <v>11.1</v>
      </c>
      <c r="B298" s="494" t="str">
        <f>L_CViec!B229</f>
        <v>Chuyển, nhận thông tin theo hình thức liên thông</v>
      </c>
      <c r="C298" s="487" t="str">
        <f>L_CViec!AD229</f>
        <v>Hồ sơ</v>
      </c>
      <c r="D298" s="487">
        <f>L_CViec!AC229</f>
        <v>1</v>
      </c>
      <c r="E298" s="487" t="str">
        <f>L_CViec!AE229</f>
        <v>1KS3</v>
      </c>
      <c r="F298" s="490" t="str">
        <f>L_CViec!AF229</f>
        <v>1-3</v>
      </c>
      <c r="G298" s="487">
        <f>L_CViec!AG229</f>
        <v>0.03</v>
      </c>
      <c r="H298" s="493">
        <f>L_CViec!AH229</f>
        <v>360525</v>
      </c>
      <c r="I298" s="617">
        <f t="shared" si="57"/>
        <v>10815.75</v>
      </c>
      <c r="J298" s="717">
        <f>$D298*G298*L_CBac!$J$68</f>
        <v>291.92307692307691</v>
      </c>
      <c r="K298" s="465">
        <f>$D298*$G298*L_CBac!$J$69</f>
        <v>842.30769230769226</v>
      </c>
    </row>
    <row r="299" spans="1:11" s="50" customFormat="1">
      <c r="A299" s="487" t="str">
        <f>L_CViec!A230</f>
        <v>11.2</v>
      </c>
      <c r="B299" s="494" t="str">
        <f>L_CViec!B230</f>
        <v>Chuyển, nhận thông tin theo hình thức trực tiếp</v>
      </c>
      <c r="C299" s="487" t="str">
        <f>L_CViec!AD230</f>
        <v>Hồ sơ</v>
      </c>
      <c r="D299" s="487">
        <f>L_CViec!AC230</f>
        <v>1</v>
      </c>
      <c r="E299" s="487" t="str">
        <f>L_CViec!AE230</f>
        <v>1KS3</v>
      </c>
      <c r="F299" s="490" t="str">
        <f>L_CViec!AF230</f>
        <v>1-3</v>
      </c>
      <c r="G299" s="487">
        <f>L_CViec!AG230</f>
        <v>0.04</v>
      </c>
      <c r="H299" s="493">
        <f>L_CViec!AH230</f>
        <v>360525</v>
      </c>
      <c r="I299" s="493">
        <f t="shared" si="57"/>
        <v>14421</v>
      </c>
      <c r="J299" s="717">
        <f>$D299*G299*L_CBac!$J$68</f>
        <v>389.23076923076923</v>
      </c>
      <c r="K299" s="465">
        <f>$D299*$G299*L_CBac!$J$69</f>
        <v>1123.0769230769231</v>
      </c>
    </row>
    <row r="300" spans="1:11" s="66" customFormat="1" ht="26">
      <c r="A300" s="487" t="str">
        <f>L_CViec!A231</f>
        <v>12</v>
      </c>
      <c r="B300" s="494" t="str">
        <f>L_CViec!B231</f>
        <v>Nhận thông báo của cơ quan thuế về việc hoàn thành nghĩa vụ tài chính</v>
      </c>
      <c r="C300" s="487">
        <f>L_CViec!AD231</f>
        <v>0</v>
      </c>
      <c r="D300" s="487">
        <f>L_CViec!AC231</f>
        <v>0</v>
      </c>
      <c r="E300" s="487">
        <f>L_CViec!AE231</f>
        <v>0</v>
      </c>
      <c r="F300" s="490">
        <f>L_CViec!AF231</f>
        <v>0</v>
      </c>
      <c r="G300" s="487">
        <f>L_CViec!AG231</f>
        <v>0</v>
      </c>
      <c r="H300" s="493">
        <f>L_CViec!AH231</f>
        <v>0</v>
      </c>
      <c r="I300" s="493">
        <f t="shared" si="57"/>
        <v>0</v>
      </c>
      <c r="J300" s="717">
        <f>$D300*G300*L_CBac!$J$68</f>
        <v>0</v>
      </c>
      <c r="K300" s="465">
        <f>$D300*$G300*L_CBac!$J$69</f>
        <v>0</v>
      </c>
    </row>
    <row r="301" spans="1:11" s="66" customFormat="1" ht="26">
      <c r="A301" s="487" t="str">
        <f>L_CViec!A232</f>
        <v>12.1</v>
      </c>
      <c r="B301" s="494" t="str">
        <f>L_CViec!B232</f>
        <v>Theo hình thức trực tiếp (gửi về xã, thị trấn để thông báo cho người sử dụng đất)</v>
      </c>
      <c r="C301" s="487" t="str">
        <f>L_CViec!AD232</f>
        <v>Hồ sơ</v>
      </c>
      <c r="D301" s="487">
        <f>L_CViec!AC232</f>
        <v>1</v>
      </c>
      <c r="E301" s="487" t="str">
        <f>L_CViec!AE232</f>
        <v>1KS2</v>
      </c>
      <c r="F301" s="490" t="str">
        <f>L_CViec!AF232</f>
        <v>1-3</v>
      </c>
      <c r="G301" s="487">
        <f>L_CViec!AG232</f>
        <v>0.04</v>
      </c>
      <c r="H301" s="493">
        <f>L_CViec!AH232</f>
        <v>320867.25</v>
      </c>
      <c r="I301" s="493">
        <f t="shared" si="57"/>
        <v>12834.69</v>
      </c>
      <c r="J301" s="717">
        <f>$D301*G301*L_CBac!$J$68</f>
        <v>389.23076923076923</v>
      </c>
      <c r="K301" s="465">
        <f>$D301*$G301*L_CBac!$J$69</f>
        <v>1123.0769230769231</v>
      </c>
    </row>
    <row r="302" spans="1:11" s="50" customFormat="1" ht="26">
      <c r="A302" s="487" t="str">
        <f>L_CViec!A233</f>
        <v>12.2</v>
      </c>
      <c r="B302" s="494" t="str">
        <f>L_CViec!B233</f>
        <v>Theo hình thức trực tuyến (gửi cho người sử dụng đất để thực hiện nghĩa vụ tài chính)</v>
      </c>
      <c r="C302" s="487" t="str">
        <f>L_CViec!AD233</f>
        <v>Hồ sơ</v>
      </c>
      <c r="D302" s="487">
        <f>L_CViec!AC233</f>
        <v>1</v>
      </c>
      <c r="E302" s="487" t="str">
        <f>L_CViec!AE233</f>
        <v>1KS2</v>
      </c>
      <c r="F302" s="490" t="str">
        <f>L_CViec!AF233</f>
        <v>1-3</v>
      </c>
      <c r="G302" s="487">
        <f>L_CViec!AG233</f>
        <v>0.03</v>
      </c>
      <c r="H302" s="493">
        <f>L_CViec!AH233</f>
        <v>320867.25</v>
      </c>
      <c r="I302" s="617">
        <f t="shared" si="57"/>
        <v>9626.0174999999999</v>
      </c>
      <c r="J302" s="717">
        <f>$D302*G302*L_CBac!$J$68</f>
        <v>291.92307692307691</v>
      </c>
      <c r="K302" s="465">
        <f>$D302*$G302*L_CBac!$J$69</f>
        <v>842.30769230769226</v>
      </c>
    </row>
    <row r="303" spans="1:11" s="66" customFormat="1" ht="26">
      <c r="A303" s="487" t="str">
        <f>L_CViec!A234</f>
        <v>13</v>
      </c>
      <c r="B303" s="494" t="str">
        <f>L_CViec!B234</f>
        <v xml:space="preserve">Nhập thông tin thửa đất, tài sản gắn liền với đất, đăng ký vào hồ sơ địa chính, cơ sở dữ liệu đất đai    </v>
      </c>
      <c r="C303" s="487" t="str">
        <f>L_CViec!AD234</f>
        <v>Thửa</v>
      </c>
      <c r="D303" s="487">
        <f>L_CViec!AC234</f>
        <v>1</v>
      </c>
      <c r="E303" s="487" t="str">
        <f>L_CViec!AE234</f>
        <v>1KS3</v>
      </c>
      <c r="F303" s="490" t="str">
        <f>L_CViec!AF234</f>
        <v>1-3</v>
      </c>
      <c r="G303" s="487">
        <f>L_CViec!AG234</f>
        <v>3.3000000000000002E-2</v>
      </c>
      <c r="H303" s="493">
        <f>L_CViec!AH234</f>
        <v>360525</v>
      </c>
      <c r="I303" s="617">
        <f t="shared" si="57"/>
        <v>11897.325000000001</v>
      </c>
      <c r="J303" s="717">
        <f>$D303*G303*L_CBac!$J$68</f>
        <v>321.11538461538464</v>
      </c>
      <c r="K303" s="465">
        <f>$D303*$G303*L_CBac!$J$69</f>
        <v>926.53846153846166</v>
      </c>
    </row>
    <row r="304" spans="1:11" s="66" customFormat="1">
      <c r="A304" s="487" t="str">
        <f>L_CViec!A235</f>
        <v>14</v>
      </c>
      <c r="B304" s="494" t="str">
        <f>L_CViec!B235</f>
        <v>Chuẩn bị hợp đồng cho thuê đất (nếu có)</v>
      </c>
      <c r="C304" s="487" t="str">
        <f>L_CViec!AD235</f>
        <v>Hồ sơ</v>
      </c>
      <c r="D304" s="487">
        <f>L_CViec!AC235</f>
        <v>1</v>
      </c>
      <c r="E304" s="487" t="str">
        <f>L_CViec!AE235</f>
        <v>1KS3</v>
      </c>
      <c r="F304" s="490" t="str">
        <f>L_CViec!AF235</f>
        <v>1-3</v>
      </c>
      <c r="G304" s="487">
        <f>L_CViec!AG235</f>
        <v>0.2</v>
      </c>
      <c r="H304" s="493">
        <f>L_CViec!AH235</f>
        <v>360525</v>
      </c>
      <c r="I304" s="617">
        <f t="shared" si="57"/>
        <v>72105</v>
      </c>
      <c r="J304" s="717">
        <f>$D304*G304*L_CBac!$J$68</f>
        <v>1946.1538461538462</v>
      </c>
      <c r="K304" s="465">
        <f>$D304*$G304*L_CBac!$J$69</f>
        <v>5615.3846153846162</v>
      </c>
    </row>
    <row r="305" spans="1:11" s="50" customFormat="1">
      <c r="A305" s="487" t="str">
        <f>L_CViec!A236</f>
        <v>15</v>
      </c>
      <c r="B305" s="494" t="str">
        <f>L_CViec!B236</f>
        <v>In GCN</v>
      </c>
      <c r="C305" s="487">
        <f>L_CViec!AD236</f>
        <v>0</v>
      </c>
      <c r="D305" s="487">
        <f>L_CViec!AC236</f>
        <v>0</v>
      </c>
      <c r="E305" s="487">
        <f>L_CViec!AE236</f>
        <v>0</v>
      </c>
      <c r="F305" s="490">
        <f>L_CViec!AF236</f>
        <v>0</v>
      </c>
      <c r="G305" s="487">
        <f>L_CViec!AG236</f>
        <v>0</v>
      </c>
      <c r="H305" s="493">
        <f>L_CViec!AH236</f>
        <v>0</v>
      </c>
      <c r="I305" s="493">
        <f t="shared" si="57"/>
        <v>0</v>
      </c>
      <c r="J305" s="717">
        <f>$D305*G305*L_CBac!$J$68</f>
        <v>0</v>
      </c>
      <c r="K305" s="465">
        <f>$D305*$G305*L_CBac!$J$69</f>
        <v>0</v>
      </c>
    </row>
    <row r="306" spans="1:11" s="50" customFormat="1">
      <c r="A306" s="487" t="str">
        <f>L_CViec!A237</f>
        <v>15.1</v>
      </c>
      <c r="B306" s="494" t="str">
        <f>L_CViec!B237</f>
        <v>Trực tiếp từ cơ sở dữ liệu dạng số</v>
      </c>
      <c r="C306" s="487" t="str">
        <f>L_CViec!AD237</f>
        <v>GCN</v>
      </c>
      <c r="D306" s="487">
        <f>L_CViec!AC237</f>
        <v>1</v>
      </c>
      <c r="E306" s="487" t="str">
        <f>L_CViec!AE237</f>
        <v>1KS2</v>
      </c>
      <c r="F306" s="490" t="str">
        <f>L_CViec!AF237</f>
        <v>1-3</v>
      </c>
      <c r="G306" s="487">
        <f>L_CViec!AG237</f>
        <v>0.05</v>
      </c>
      <c r="H306" s="493">
        <f>L_CViec!AH237</f>
        <v>320867.25</v>
      </c>
      <c r="I306" s="617">
        <f t="shared" si="57"/>
        <v>16043.362500000001</v>
      </c>
      <c r="J306" s="717">
        <f>$D306*G306*L_CBac!$J$68</f>
        <v>486.53846153846155</v>
      </c>
      <c r="K306" s="465">
        <f>$D306*$G306*L_CBac!$J$69</f>
        <v>1403.846153846154</v>
      </c>
    </row>
    <row r="307" spans="1:11" s="50" customFormat="1">
      <c r="A307" s="487" t="str">
        <f>L_CViec!A238</f>
        <v>15.2</v>
      </c>
      <c r="B307" s="494" t="str">
        <f>L_CViec!B238</f>
        <v>Đối với những nơi chưa có bản đồ dạng số</v>
      </c>
      <c r="C307" s="487" t="str">
        <f>L_CViec!AD238</f>
        <v>GCN</v>
      </c>
      <c r="D307" s="487">
        <f>L_CViec!AC238</f>
        <v>1</v>
      </c>
      <c r="E307" s="487" t="str">
        <f>L_CViec!AE238</f>
        <v>1KS2</v>
      </c>
      <c r="F307" s="490" t="str">
        <f>L_CViec!AF238</f>
        <v>1-3</v>
      </c>
      <c r="G307" s="487">
        <f>L_CViec!AG238</f>
        <v>0.1</v>
      </c>
      <c r="H307" s="493">
        <f>L_CViec!AH238</f>
        <v>320867.25</v>
      </c>
      <c r="I307" s="493">
        <f t="shared" si="57"/>
        <v>32086.725000000002</v>
      </c>
      <c r="J307" s="717">
        <f>$D307*G307*L_CBac!$J$68</f>
        <v>973.07692307692309</v>
      </c>
      <c r="K307" s="465">
        <f>$D307*$G307*L_CBac!$J$69</f>
        <v>2807.6923076923081</v>
      </c>
    </row>
    <row r="308" spans="1:11" s="66" customFormat="1" ht="26">
      <c r="A308" s="487" t="str">
        <f>L_CViec!A239</f>
        <v>16</v>
      </c>
      <c r="B308" s="494" t="str">
        <f>L_CViec!B239</f>
        <v>Lập và gửi hồ sơ trình ký GCN, lập hồ sơ theo dõi việc gửi tài liệu</v>
      </c>
      <c r="C308" s="487" t="str">
        <f>L_CViec!AD239</f>
        <v>Hồ sơ</v>
      </c>
      <c r="D308" s="487">
        <f>L_CViec!AC239</f>
        <v>1</v>
      </c>
      <c r="E308" s="487" t="str">
        <f>L_CViec!AE239</f>
        <v>1KS2</v>
      </c>
      <c r="F308" s="490" t="str">
        <f>L_CViec!AF239</f>
        <v>1-3</v>
      </c>
      <c r="G308" s="487">
        <f>L_CViec!AG239</f>
        <v>0.04</v>
      </c>
      <c r="H308" s="493">
        <f>L_CViec!AH239</f>
        <v>320867.25</v>
      </c>
      <c r="I308" s="617">
        <f>G308*H308</f>
        <v>12834.69</v>
      </c>
      <c r="J308" s="717">
        <f>$D308*G308*L_CBac!$J$68</f>
        <v>389.23076923076923</v>
      </c>
      <c r="K308" s="465">
        <f>$D308*$G308*L_CBac!$J$69</f>
        <v>1123.0769230769231</v>
      </c>
    </row>
    <row r="309" spans="1:11" s="66" customFormat="1" ht="26">
      <c r="A309" s="487" t="str">
        <f>L_CViec!A240</f>
        <v>17</v>
      </c>
      <c r="B309" s="494" t="str">
        <f>L_CViec!B240</f>
        <v>Nhận lại hồ sơ, GCN, hợp đồng thuê đất (nếu có); lập và sao sổ cấp GCN;  quét (sao) GCN để lưu</v>
      </c>
      <c r="C309" s="487">
        <f>L_CViec!AD240</f>
        <v>0</v>
      </c>
      <c r="D309" s="487">
        <f>L_CViec!AC240</f>
        <v>0</v>
      </c>
      <c r="E309" s="487">
        <f>L_CViec!AE240</f>
        <v>0</v>
      </c>
      <c r="F309" s="490">
        <f>L_CViec!AF240</f>
        <v>0</v>
      </c>
      <c r="G309" s="487">
        <f>L_CViec!AG240</f>
        <v>0</v>
      </c>
      <c r="H309" s="493">
        <f>L_CViec!AH240</f>
        <v>0</v>
      </c>
      <c r="I309" s="493">
        <f t="shared" si="57"/>
        <v>0</v>
      </c>
      <c r="J309" s="717">
        <f>$D309*G309*L_CBac!$J$68</f>
        <v>0</v>
      </c>
      <c r="K309" s="465">
        <f>$D309*$G309*L_CBac!$J$69</f>
        <v>0</v>
      </c>
    </row>
    <row r="310" spans="1:11" s="50" customFormat="1" ht="52">
      <c r="A310" s="487" t="str">
        <f>L_CViec!A241</f>
        <v>17.1</v>
      </c>
      <c r="B310" s="494" t="str">
        <f>L_CViec!B241</f>
        <v>Thông báo danh sách các trường hợp làm thủ tục cấp Giấy chứng nhận cho bên nhận thế chấp; xác nhận việc đăng ký thế chấp vào GCN sau khi được cơ quan có thẩm quyền ký cấp đổi</v>
      </c>
      <c r="C310" s="487" t="str">
        <f>L_CViec!AD241</f>
        <v>Hồ sơ</v>
      </c>
      <c r="D310" s="487">
        <f>L_CViec!AC241</f>
        <v>1</v>
      </c>
      <c r="E310" s="487" t="str">
        <f>L_CViec!AE241</f>
        <v>1KS2</v>
      </c>
      <c r="F310" s="490" t="str">
        <f>L_CViec!AF241</f>
        <v>1-3</v>
      </c>
      <c r="G310" s="487">
        <f>L_CViec!AG241</f>
        <v>0.05</v>
      </c>
      <c r="H310" s="493">
        <f>L_CViec!AH241</f>
        <v>320867.25</v>
      </c>
      <c r="I310" s="617">
        <f t="shared" si="57"/>
        <v>16043.362500000001</v>
      </c>
      <c r="J310" s="717">
        <f>$D310*G310*L_CBac!$J$68</f>
        <v>486.53846153846155</v>
      </c>
      <c r="K310" s="465">
        <f>$D310*$G310*L_CBac!$J$69</f>
        <v>1403.846153846154</v>
      </c>
    </row>
    <row r="311" spans="1:11" s="50" customFormat="1" ht="26">
      <c r="A311" s="487" t="str">
        <f>L_CViec!A242</f>
        <v>17.2</v>
      </c>
      <c r="B311" s="494" t="str">
        <f>L_CViec!B242</f>
        <v>Văn phòng đăng ký đất đai nhận lại Giấy chứng nhận cũ đang thế chấp từ tổ chức tín dụng và trao Giấy chứng nhận mới</v>
      </c>
      <c r="C311" s="487" t="str">
        <f>L_CViec!AD242</f>
        <v>Hồ sơ</v>
      </c>
      <c r="D311" s="487">
        <f>L_CViec!AC242</f>
        <v>1</v>
      </c>
      <c r="E311" s="487" t="str">
        <f>L_CViec!AE242</f>
        <v>1KS2</v>
      </c>
      <c r="F311" s="490" t="str">
        <f>L_CViec!AF242</f>
        <v>1-3</v>
      </c>
      <c r="G311" s="487">
        <f>L_CViec!AG242</f>
        <v>0.05</v>
      </c>
      <c r="H311" s="493">
        <f>L_CViec!AH242</f>
        <v>320867.25</v>
      </c>
      <c r="I311" s="493">
        <f>SUM(I312:I313)</f>
        <v>11897.325000000001</v>
      </c>
      <c r="J311" s="717">
        <f>$D311*G311*L_CBac!$J$68</f>
        <v>486.53846153846155</v>
      </c>
      <c r="K311" s="465">
        <f>SUM(K312:K313)</f>
        <v>926.53846153846166</v>
      </c>
    </row>
    <row r="312" spans="1:11" s="66" customFormat="1">
      <c r="A312" s="487" t="str">
        <f>L_CViec!A243</f>
        <v>18</v>
      </c>
      <c r="B312" s="494" t="str">
        <f>L_CViec!B243</f>
        <v>Nhập bổ sung thông tin dữ liệu về GCN</v>
      </c>
      <c r="C312" s="487" t="str">
        <f>L_CViec!AD243</f>
        <v>Thửa</v>
      </c>
      <c r="D312" s="487">
        <f>L_CViec!AC243</f>
        <v>1</v>
      </c>
      <c r="E312" s="487" t="str">
        <f>L_CViec!AE243</f>
        <v>1KS3</v>
      </c>
      <c r="F312" s="490" t="str">
        <f>L_CViec!AF243</f>
        <v>1-3</v>
      </c>
      <c r="G312" s="487">
        <f>L_CViec!AG243</f>
        <v>3.3000000000000002E-2</v>
      </c>
      <c r="H312" s="493">
        <f>L_CViec!AH243</f>
        <v>360525</v>
      </c>
      <c r="I312" s="617">
        <f>G312*H312</f>
        <v>11897.325000000001</v>
      </c>
      <c r="J312" s="717">
        <f>$D312*G312*L_CBac!$J$68</f>
        <v>321.11538461538464</v>
      </c>
      <c r="K312" s="465">
        <f>$D312*$G312*L_CBac!$J$69</f>
        <v>926.53846153846166</v>
      </c>
    </row>
    <row r="313" spans="1:11" s="66" customFormat="1" ht="26">
      <c r="A313" s="487" t="str">
        <f>L_CViec!A244</f>
        <v>19</v>
      </c>
      <c r="B313" s="494" t="str">
        <f>L_CViec!B244</f>
        <v>Quét giấy tờ pháp lý về quyền sử dụng đất, quyền sở hữu nhà ở và tài sản khác gắn liền với đất</v>
      </c>
      <c r="C313" s="487">
        <f>L_CViec!AD244</f>
        <v>0</v>
      </c>
      <c r="D313" s="487">
        <f>L_CViec!AC244</f>
        <v>0</v>
      </c>
      <c r="E313" s="487">
        <f>L_CViec!AE244</f>
        <v>0</v>
      </c>
      <c r="F313" s="490">
        <f>L_CViec!AF244</f>
        <v>0</v>
      </c>
      <c r="G313" s="487">
        <f>L_CViec!AG244</f>
        <v>0</v>
      </c>
      <c r="H313" s="493">
        <f>L_CViec!AH244</f>
        <v>0</v>
      </c>
      <c r="I313" s="493">
        <f>G313*H313</f>
        <v>0</v>
      </c>
      <c r="J313" s="717">
        <f>$D313*G313*L_CBac!$J$68</f>
        <v>0</v>
      </c>
      <c r="K313" s="465">
        <f>$D313*$G313*L_CBac!$J$69</f>
        <v>0</v>
      </c>
    </row>
    <row r="314" spans="1:11" s="50" customFormat="1">
      <c r="A314" s="487" t="str">
        <f>L_CViec!A245</f>
        <v>19.1</v>
      </c>
      <c r="B314" s="494" t="str">
        <f>L_CViec!B245</f>
        <v>Quét trang A3</v>
      </c>
      <c r="C314" s="487" t="str">
        <f>L_CViec!AD245</f>
        <v>Trang</v>
      </c>
      <c r="D314" s="487">
        <f>L_CViec!AC245</f>
        <v>1</v>
      </c>
      <c r="E314" s="487" t="str">
        <f>L_CViec!AE245</f>
        <v>1KS1</v>
      </c>
      <c r="F314" s="490" t="str">
        <f>L_CViec!AF245</f>
        <v>1-3</v>
      </c>
      <c r="G314" s="487">
        <f>L_CViec!AG245</f>
        <v>1.6E-2</v>
      </c>
      <c r="H314" s="493">
        <f>L_CViec!AH245</f>
        <v>281209.5</v>
      </c>
      <c r="I314" s="493">
        <f>G314*H314</f>
        <v>4499.3519999999999</v>
      </c>
      <c r="J314" s="717">
        <f>$D314*G314*L_CBac!$J$68</f>
        <v>155.69230769230768</v>
      </c>
      <c r="K314" s="465">
        <f>$D314*$G314*L_CBac!$J$69</f>
        <v>449.23076923076928</v>
      </c>
    </row>
    <row r="315" spans="1:11" s="50" customFormat="1">
      <c r="A315" s="487" t="str">
        <f>L_CViec!A246</f>
        <v>19.2</v>
      </c>
      <c r="B315" s="494" t="str">
        <f>L_CViec!B246</f>
        <v>Quét trang A4</v>
      </c>
      <c r="C315" s="487" t="str">
        <f>L_CViec!AD246</f>
        <v>Trang</v>
      </c>
      <c r="D315" s="487">
        <f>L_CViec!AC246</f>
        <v>1</v>
      </c>
      <c r="E315" s="487" t="str">
        <f>L_CViec!AE246</f>
        <v>1KS1</v>
      </c>
      <c r="F315" s="490" t="str">
        <f>L_CViec!AF246</f>
        <v>1-3</v>
      </c>
      <c r="G315" s="487">
        <f>L_CViec!AG246</f>
        <v>8.0000000000000002E-3</v>
      </c>
      <c r="H315" s="493">
        <f>L_CViec!AH246</f>
        <v>281209.5</v>
      </c>
      <c r="I315" s="493">
        <f>G315*H315</f>
        <v>2249.6759999999999</v>
      </c>
      <c r="J315" s="717">
        <f>$D315*G315*L_CBac!$J$68</f>
        <v>77.84615384615384</v>
      </c>
      <c r="K315" s="465">
        <f>$D315*$G315*L_CBac!$J$69</f>
        <v>224.61538461538464</v>
      </c>
    </row>
    <row r="316" spans="1:11" s="66" customFormat="1" ht="26">
      <c r="A316" s="487" t="str">
        <f>L_CViec!A247</f>
        <v>20</v>
      </c>
      <c r="B316" s="494" t="str">
        <f>L_CViec!B247</f>
        <v>Xử lý các tệp tin quét thành tệp (File) hồ sơ quét dạng số của thửa đất, lưu trữ dưới khuôn dạng tệp tin PDF</v>
      </c>
      <c r="C316" s="487" t="str">
        <f>L_CViec!AD247</f>
        <v>Trang</v>
      </c>
      <c r="D316" s="487">
        <f>L_CViec!AC247</f>
        <v>1</v>
      </c>
      <c r="E316" s="487" t="str">
        <f>L_CViec!AE247</f>
        <v>1KS1</v>
      </c>
      <c r="F316" s="490" t="str">
        <f>L_CViec!AF247</f>
        <v>1-3</v>
      </c>
      <c r="G316" s="487">
        <f>L_CViec!AG247</f>
        <v>4.0000000000000001E-3</v>
      </c>
      <c r="H316" s="493">
        <f>L_CViec!AH247</f>
        <v>281209.5</v>
      </c>
      <c r="I316" s="493">
        <f>SUM(I317:I318)</f>
        <v>9229.44</v>
      </c>
      <c r="J316" s="717">
        <f>$D316*G316*L_CBac!$J$68</f>
        <v>38.92307692307692</v>
      </c>
      <c r="K316" s="465">
        <f>SUM(K317:K318)</f>
        <v>842.30769230769238</v>
      </c>
    </row>
    <row r="317" spans="1:11" s="66" customFormat="1" ht="26">
      <c r="A317" s="487" t="str">
        <f>L_CViec!A248</f>
        <v>21</v>
      </c>
      <c r="B317" s="494" t="str">
        <f>L_CViec!B248</f>
        <v>Tạo liên kết hồ sơ quét dạng số với thửa đất trong cơ sở dữ liệu</v>
      </c>
      <c r="C317" s="487" t="str">
        <f>L_CViec!AD248</f>
        <v>Thửa</v>
      </c>
      <c r="D317" s="487">
        <f>L_CViec!AC248</f>
        <v>1</v>
      </c>
      <c r="E317" s="487" t="str">
        <f>L_CViec!AE248</f>
        <v>1KS1</v>
      </c>
      <c r="F317" s="490" t="str">
        <f>L_CViec!AF248</f>
        <v>1-3</v>
      </c>
      <c r="G317" s="487">
        <f>L_CViec!AG248</f>
        <v>0.01</v>
      </c>
      <c r="H317" s="493">
        <f>L_CViec!AH248</f>
        <v>281209.5</v>
      </c>
      <c r="I317" s="493">
        <f>G317*H317</f>
        <v>2812.0950000000003</v>
      </c>
      <c r="J317" s="717">
        <f>$D317*G317*L_CBac!$J$68</f>
        <v>97.307692307692307</v>
      </c>
      <c r="K317" s="465">
        <f>$D317*$G317*L_CBac!$J$69</f>
        <v>280.76923076923077</v>
      </c>
    </row>
    <row r="318" spans="1:11" s="66" customFormat="1" ht="39">
      <c r="A318" s="487" t="str">
        <f>L_CViec!A249</f>
        <v>22</v>
      </c>
      <c r="B318" s="494" t="str">
        <f>L_CViec!B249</f>
        <v>Chuyển Giấy chứng nhận đến Bộ phận một cửa để trao cho người sử dụng đất hoặc chuyển Giấy chứng nhận cho người sử dụng đất thông qua dịch vụ bưu chính công ích</v>
      </c>
      <c r="C318" s="487" t="str">
        <f>L_CViec!AD249</f>
        <v>Hồ sơ</v>
      </c>
      <c r="D318" s="487">
        <f>L_CViec!AC249</f>
        <v>1</v>
      </c>
      <c r="E318" s="487" t="str">
        <f>L_CViec!AE249</f>
        <v>1KS2</v>
      </c>
      <c r="F318" s="490" t="str">
        <f>L_CViec!AF249</f>
        <v>1-3</v>
      </c>
      <c r="G318" s="487">
        <f>L_CViec!AG249</f>
        <v>0.02</v>
      </c>
      <c r="H318" s="493">
        <f>L_CViec!AH249</f>
        <v>320867.25</v>
      </c>
      <c r="I318" s="617">
        <f>G318*H318</f>
        <v>6417.3450000000003</v>
      </c>
      <c r="J318" s="717">
        <f>$D318*G318*L_CBac!$J$68</f>
        <v>194.61538461538461</v>
      </c>
      <c r="K318" s="465">
        <f>$D318*$G318*L_CBac!$J$69</f>
        <v>561.53846153846155</v>
      </c>
    </row>
    <row r="319" spans="1:11" s="66" customFormat="1" ht="26">
      <c r="A319" s="487" t="str">
        <f>L_CViec!A250</f>
        <v>23</v>
      </c>
      <c r="B319" s="494" t="str">
        <f>L_CViec!B250</f>
        <v xml:space="preserve">Nhận hồ sơ địa chính từ tỉnh và gửi về xã, phường, đặc khu (01 bộ) </v>
      </c>
      <c r="C319" s="487" t="str">
        <f>L_CViec!AD250</f>
        <v xml:space="preserve">Bộ/xã , phường, </v>
      </c>
      <c r="D319" s="487">
        <f>L_CViec!AC250</f>
        <v>1</v>
      </c>
      <c r="E319" s="487" t="str">
        <f>L_CViec!AE250</f>
        <v>1KS2</v>
      </c>
      <c r="F319" s="490" t="str">
        <f>L_CViec!AF250</f>
        <v>1-3</v>
      </c>
      <c r="G319" s="487">
        <f>L_CViec!AG250</f>
        <v>32</v>
      </c>
      <c r="H319" s="493">
        <f>L_CViec!AH250</f>
        <v>320867.25</v>
      </c>
      <c r="I319" s="617">
        <f>G319*H319/20000</f>
        <v>513.38760000000002</v>
      </c>
      <c r="J319" s="717">
        <f>$D319*G319*L_CBac!$J$68/20000</f>
        <v>15.569230769230769</v>
      </c>
      <c r="K319" s="465">
        <f>$D319*$G319*L_CBac!$J$69</f>
        <v>898461.5384615385</v>
      </c>
    </row>
    <row r="320" spans="1:11" s="50" customFormat="1" ht="30" customHeight="1">
      <c r="A320" s="508" t="str">
        <f>L_CViec!A251</f>
        <v>IV.2</v>
      </c>
      <c r="B320" s="507" t="str">
        <f>L_CViec!B251</f>
        <v>CÁC NỘI DUNG THỰC HIỆN TẠI ĐỊA BÀN CẤP TỈNH</v>
      </c>
      <c r="C320" s="507">
        <f>L_CViec!AD251</f>
        <v>0</v>
      </c>
      <c r="D320" s="507">
        <f>L_CViec!AC251</f>
        <v>0</v>
      </c>
      <c r="E320" s="507">
        <f>L_CViec!AE251</f>
        <v>0</v>
      </c>
      <c r="F320" s="507">
        <f>L_CViec!AF251</f>
        <v>0</v>
      </c>
      <c r="G320" s="487">
        <f>L_CViec!AG251</f>
        <v>0</v>
      </c>
      <c r="H320" s="509">
        <f>L_CViec!AH251</f>
        <v>0</v>
      </c>
      <c r="I320" s="628">
        <f>SUM(I321,I324,I327)</f>
        <v>29383.41841875</v>
      </c>
      <c r="J320" s="717">
        <f>SUM(J321,J324,J327)</f>
        <v>714.48173076923069</v>
      </c>
      <c r="K320" s="464">
        <f>SUM(K321,K324,K327)</f>
        <v>4637.9567307692305</v>
      </c>
    </row>
    <row r="321" spans="1:11" s="50" customFormat="1">
      <c r="A321" s="487" t="str">
        <f>L_CViec!A252</f>
        <v>1</v>
      </c>
      <c r="B321" s="494" t="str">
        <f>L_CViec!B252</f>
        <v>Lập hồ sơ địa chính</v>
      </c>
      <c r="C321" s="487">
        <f>L_CViec!AD252</f>
        <v>0</v>
      </c>
      <c r="D321" s="487">
        <f>L_CViec!AC252</f>
        <v>0</v>
      </c>
      <c r="E321" s="487">
        <f>L_CViec!AE252</f>
        <v>0</v>
      </c>
      <c r="F321" s="487">
        <f>L_CViec!AF252</f>
        <v>0</v>
      </c>
      <c r="G321" s="487">
        <f>L_CViec!AG252</f>
        <v>0</v>
      </c>
      <c r="H321" s="493">
        <f>L_CViec!AH252</f>
        <v>0</v>
      </c>
      <c r="I321" s="627">
        <f>SUM(I322:I323)</f>
        <v>28012.7925</v>
      </c>
      <c r="J321" s="717">
        <f>SUM(J322:J323)</f>
        <v>681.15384615384608</v>
      </c>
      <c r="K321" s="465">
        <f>SUM(K322:K323)</f>
        <v>4492.3076923076924</v>
      </c>
    </row>
    <row r="322" spans="1:11" s="66" customFormat="1" ht="26">
      <c r="A322" s="510" t="str">
        <f>L_CViec!A253</f>
        <v>1.1</v>
      </c>
      <c r="B322" s="511" t="str">
        <f>L_CViec!B253</f>
        <v>Hoàn thiện BĐĐC và Sổ mục kê đất đai theo kết quả đăng ký, cấp GCN (8000 hồ sơ/xã)</v>
      </c>
      <c r="C322" s="487" t="str">
        <f>L_CViec!AD253</f>
        <v>Bộ/ đĩa</v>
      </c>
      <c r="D322" s="487">
        <f>L_CViec!AC253</f>
        <v>1</v>
      </c>
      <c r="E322" s="487" t="str">
        <f>L_CViec!AE253</f>
        <v>1KS4</v>
      </c>
      <c r="F322" s="487" t="str">
        <f>L_CViec!AF253</f>
        <v>1-3</v>
      </c>
      <c r="G322" s="487">
        <f>L_CViec!AG253</f>
        <v>1200</v>
      </c>
      <c r="H322" s="493">
        <f>L_CViec!AH253</f>
        <v>400182.75</v>
      </c>
      <c r="I322" s="493">
        <f>G322*H322/20000</f>
        <v>24010.965</v>
      </c>
      <c r="J322" s="717">
        <f>$D322*G322*L_CBac!$J$68/20000</f>
        <v>583.84615384615381</v>
      </c>
      <c r="K322" s="465">
        <f>$D322*$G322*L_CBac!$J$69/8000</f>
        <v>4211.5384615384619</v>
      </c>
    </row>
    <row r="323" spans="1:11" s="66" customFormat="1">
      <c r="A323" s="510" t="str">
        <f>L_CViec!A254</f>
        <v>1.2</v>
      </c>
      <c r="B323" s="511" t="str">
        <f>L_CViec!B254</f>
        <v>Lập, hoàn thiện sổ địa chính điện tử</v>
      </c>
      <c r="C323" s="487" t="str">
        <f>L_CViec!AD254</f>
        <v>Thửa</v>
      </c>
      <c r="D323" s="487">
        <f>L_CViec!AC254</f>
        <v>1</v>
      </c>
      <c r="E323" s="487" t="str">
        <f>L_CViec!AE254</f>
        <v>1KS4</v>
      </c>
      <c r="F323" s="487" t="str">
        <f>L_CViec!AF254</f>
        <v>1-3</v>
      </c>
      <c r="G323" s="487">
        <f>L_CViec!AG254</f>
        <v>0.01</v>
      </c>
      <c r="H323" s="493">
        <f>L_CViec!AH254</f>
        <v>400182.75</v>
      </c>
      <c r="I323" s="493">
        <f>G323*H323</f>
        <v>4001.8274999999999</v>
      </c>
      <c r="J323" s="717">
        <f>G323*L_CBac!$J$68</f>
        <v>97.307692307692307</v>
      </c>
      <c r="K323" s="465">
        <f>$G323*L_CBac!$J$69</f>
        <v>280.76923076923077</v>
      </c>
    </row>
    <row r="324" spans="1:11" s="50" customFormat="1" ht="30" customHeight="1">
      <c r="A324" s="487" t="str">
        <f>L_CViec!A255</f>
        <v>2</v>
      </c>
      <c r="B324" s="494" t="str">
        <f>L_CViec!B255</f>
        <v>Sao, in ấn hồ sơ địa chính để cung cấp cho xã, thị trấn quản lý và khai thác sử dụng</v>
      </c>
      <c r="C324" s="487">
        <f>L_CViec!AD255</f>
        <v>0</v>
      </c>
      <c r="D324" s="487">
        <f>L_CViec!AC255</f>
        <v>0</v>
      </c>
      <c r="E324" s="487">
        <f>L_CViec!AE255</f>
        <v>0</v>
      </c>
      <c r="F324" s="487">
        <f>L_CViec!AF255</f>
        <v>0</v>
      </c>
      <c r="G324" s="487">
        <f>L_CViec!AG255</f>
        <v>0</v>
      </c>
      <c r="H324" s="493">
        <f>L_CViec!AH255</f>
        <v>0</v>
      </c>
      <c r="I324" s="627">
        <f>SUM(I325:I326)</f>
        <v>730.33351875000005</v>
      </c>
      <c r="J324" s="717">
        <f>SUM(J325:J326)</f>
        <v>17.758653846153845</v>
      </c>
      <c r="K324" s="465">
        <f>SUM(K325:K326)</f>
        <v>33.341346153846153</v>
      </c>
    </row>
    <row r="325" spans="1:11" s="66" customFormat="1" ht="17.25" customHeight="1">
      <c r="A325" s="510" t="str">
        <f>L_CViec!A256</f>
        <v>2.1</v>
      </c>
      <c r="B325" s="511" t="str">
        <f>L_CViec!B256</f>
        <v>Bản đồ địa chính</v>
      </c>
      <c r="C325" s="487" t="str">
        <f>L_CViec!AD256</f>
        <v>Tờ</v>
      </c>
      <c r="D325" s="487">
        <f>L_CViec!AC256</f>
        <v>1</v>
      </c>
      <c r="E325" s="487" t="str">
        <f>L_CViec!AE256</f>
        <v>1KS4</v>
      </c>
      <c r="F325" s="487" t="str">
        <f>L_CViec!AF256</f>
        <v>1-3</v>
      </c>
      <c r="G325" s="487">
        <f>L_CViec!AG256</f>
        <v>2.5000000000000001E-2</v>
      </c>
      <c r="H325" s="493">
        <f>L_CViec!AH256</f>
        <v>400182.75</v>
      </c>
      <c r="I325" s="493">
        <f>G325*H325/20000*250*2</f>
        <v>250.11421874999999</v>
      </c>
      <c r="J325" s="717">
        <f>$D325*G325*L_CBac!$J$68/20000*250*2</f>
        <v>6.0817307692307692</v>
      </c>
      <c r="K325" s="465">
        <f>$D325*$G325*L_CBac!$J$69/8000*60</f>
        <v>5.2644230769230775</v>
      </c>
    </row>
    <row r="326" spans="1:11" s="66" customFormat="1" ht="17.25" customHeight="1">
      <c r="A326" s="510" t="str">
        <f>L_CViec!A257</f>
        <v>2.2</v>
      </c>
      <c r="B326" s="511" t="str">
        <f>L_CViec!B257</f>
        <v>Sao Sổ địa chính, Sổ mục kê (8000 hồ sơ/xã, 3 bộ)</v>
      </c>
      <c r="C326" s="487" t="str">
        <f>L_CViec!AD257</f>
        <v>Bộ/ đĩa</v>
      </c>
      <c r="D326" s="487">
        <f>L_CViec!AC257</f>
        <v>1</v>
      </c>
      <c r="E326" s="487" t="str">
        <f>L_CViec!AE257</f>
        <v>1KS4</v>
      </c>
      <c r="F326" s="487" t="str">
        <f>L_CViec!AF257</f>
        <v>1-3</v>
      </c>
      <c r="G326" s="487">
        <f>L_CViec!AG257</f>
        <v>8</v>
      </c>
      <c r="H326" s="493">
        <f>L_CViec!AH257</f>
        <v>400182.75</v>
      </c>
      <c r="I326" s="493">
        <f>G326*H326/20000*3</f>
        <v>480.21930000000003</v>
      </c>
      <c r="J326" s="717">
        <f>$D326*G326*L_CBac!$J$68/20000*3</f>
        <v>11.676923076923076</v>
      </c>
      <c r="K326" s="465">
        <f>$D326*$G326*L_CBac!$J$69/8000</f>
        <v>28.076923076923077</v>
      </c>
    </row>
    <row r="327" spans="1:11" s="50" customFormat="1" ht="32.25" customHeight="1">
      <c r="A327" s="487" t="str">
        <f>L_CViec!A258</f>
        <v>3</v>
      </c>
      <c r="B327" s="494" t="str">
        <f>L_CViec!B258</f>
        <v>Bàn giao HSĐC cho cấp xã, thị trấn để quản lý và khai thác sử dụng (8000 hồ sơ/xã, 1bộ)</v>
      </c>
      <c r="C327" s="487" t="str">
        <f>L_CViec!AD258</f>
        <v>Bộ/xã , thị trấn</v>
      </c>
      <c r="D327" s="487">
        <f>L_CViec!AC258</f>
        <v>1</v>
      </c>
      <c r="E327" s="487" t="str">
        <f>L_CViec!AE258</f>
        <v>1KS4</v>
      </c>
      <c r="F327" s="487" t="str">
        <f>L_CViec!AF258</f>
        <v>1-3</v>
      </c>
      <c r="G327" s="487">
        <f>L_CViec!AG258</f>
        <v>32</v>
      </c>
      <c r="H327" s="493">
        <f>L_CViec!AH258</f>
        <v>400182.75</v>
      </c>
      <c r="I327" s="627">
        <f>G327*H327/20000</f>
        <v>640.29240000000004</v>
      </c>
      <c r="J327" s="717">
        <f>$D327*G327*L_CBac!$J$68/20000</f>
        <v>15.569230769230769</v>
      </c>
      <c r="K327" s="465">
        <f>$D327*$G327*L_CBac!$J$69/8000</f>
        <v>112.30769230769231</v>
      </c>
    </row>
    <row r="328" spans="1:11" s="50" customFormat="1">
      <c r="A328" s="48" t="str">
        <f>L_CViec!A259</f>
        <v>IV.3</v>
      </c>
      <c r="B328" s="52" t="str">
        <f>L_CViec!B259</f>
        <v>GHI CHÚ</v>
      </c>
      <c r="C328" s="52">
        <f>L_CViec!AD259</f>
        <v>0</v>
      </c>
      <c r="D328" s="52"/>
      <c r="E328" s="52">
        <f>L_CViec!AE259</f>
        <v>0</v>
      </c>
      <c r="F328" s="52">
        <f>L_CViec!AF259</f>
        <v>0</v>
      </c>
      <c r="G328" s="52">
        <f>L_CViec!AG259</f>
        <v>0</v>
      </c>
      <c r="H328" s="472">
        <f>L_CViec!AH259</f>
        <v>0</v>
      </c>
      <c r="I328" s="78"/>
      <c r="J328" s="719"/>
      <c r="K328" s="467"/>
    </row>
    <row r="329" spans="1:11" s="50" customFormat="1" ht="57" customHeight="1">
      <c r="A329" s="49" t="str">
        <f>L_CViec!A260</f>
        <v>1</v>
      </c>
      <c r="B329" s="946" t="str">
        <f>L_CViec!B260</f>
        <v>(1) Định mức trên đây tính đối với việc đăng ký, cấp đổi GCN về quyền sử dụng đất. Trường hợp đăng ký, cấp đổi GCN đối với cả đất và tài sản gắn liền với đất thì định mức tính cho 1 hồ sơ đăng ký cả đất và tài sản bằng 1,3 lần định mức lao động cho 1 hồ sơ đăng ký đối với đất quy định tại Bảng này. Trường hợp đăng ký cấp đổi GCN riêng đối với tài sản thì định mức tính cho 1 hồ sơ đăng ký cấp đổi GCN đối với tài sản bằng định mức lao động cho 1 hồ sơ đăng ký đối với đất quy định tại Bảng này.</v>
      </c>
      <c r="C329" s="946"/>
      <c r="D329" s="946"/>
      <c r="E329" s="946"/>
      <c r="F329" s="946"/>
      <c r="G329" s="946"/>
      <c r="H329" s="946"/>
      <c r="I329" s="946"/>
      <c r="J329" s="744"/>
    </row>
    <row r="330" spans="1:11" s="50" customFormat="1" ht="44.5" customHeight="1">
      <c r="A330" s="49" t="str">
        <f>L_CViec!A261</f>
        <v>2</v>
      </c>
      <c r="B330" s="946" t="str">
        <f>L_CViec!B261</f>
        <v>(2) Trường hợp nhiều thửa đất nông nghiệp lập chung trong 1 hồ sơ và cấp chung trong một GCN thì ngoài mức được tính ở trên, mỗi thửa đất tăng thêm được tính mức bằng 0,30 lần định mức quy định đối với Mục 2, 3, 4, 5, 6, 7, 8, 9, 10, 11, 12, 13, 14, 18, 19, 20, 21 và 23 các nội dung thực hiện tại địa bàn xã, phường, đặc khu; Mục 1, 2 và 3 các nội dung thực hiện tại địa bàn tỉnh của Bảng này.</v>
      </c>
      <c r="C330" s="946"/>
      <c r="D330" s="946"/>
      <c r="E330" s="946"/>
      <c r="F330" s="946"/>
      <c r="G330" s="946"/>
      <c r="H330" s="946"/>
      <c r="I330" s="946"/>
      <c r="J330" s="947"/>
      <c r="K330" s="947"/>
    </row>
    <row r="331" spans="1:11" s="50" customFormat="1" ht="30" customHeight="1">
      <c r="A331" s="49" t="str">
        <f>L_CViec!A262</f>
        <v>3</v>
      </c>
      <c r="B331" s="946" t="str">
        <f>L_CViec!B262</f>
        <v xml:space="preserve">(3) Trường hợp thửa đất đã cấp GCN mà có thay đổi về mục đích sử dụng đất, ranh giới thửa đất không thay đổi thì áp dụng theo định mức quy định tại Bảng này. </v>
      </c>
      <c r="C331" s="946"/>
      <c r="D331" s="946"/>
      <c r="E331" s="946"/>
      <c r="F331" s="946"/>
      <c r="G331" s="946"/>
      <c r="H331" s="946"/>
      <c r="I331" s="946"/>
      <c r="J331" s="947"/>
      <c r="K331" s="947"/>
    </row>
    <row r="332" spans="1:11" s="50" customFormat="1" ht="30" customHeight="1">
      <c r="A332" s="49" t="str">
        <f>L_CViec!A263</f>
        <v>4</v>
      </c>
      <c r="B332" s="946" t="str">
        <f>L_CViec!B263</f>
        <v>(4) Trường hợp thửa đất đã cấp GCN mà có thay đổi về mục đích sử dụng đất, ranh giới thửa đất thì áp dụng theo định mức như đối với trường hợp cấp GCN đồng loạt lần đầu.</v>
      </c>
      <c r="C332" s="946"/>
      <c r="D332" s="946"/>
      <c r="E332" s="946"/>
      <c r="F332" s="946"/>
      <c r="G332" s="946"/>
      <c r="H332" s="946"/>
      <c r="I332" s="946"/>
      <c r="J332" s="947"/>
      <c r="K332" s="947"/>
    </row>
    <row r="333" spans="1:11" s="50" customFormat="1" ht="39.75" customHeight="1">
      <c r="A333" s="49" t="str">
        <f>L_CViec!A264</f>
        <v>5</v>
      </c>
      <c r="B333" s="946" t="str">
        <f>L_CViec!B264</f>
        <v>(5) Trường hợp cấp đổi GCN đối với thửa đất có biến động khác về quyền sử dụng đất, tài sản gắn liền với đất (chuyển quyền sử dụng đất, thay đổi về tài sản gắn liền với đất, v.v...) thì định mức lao động quy định tại các mục 2 7, 8, 9, 10, 11, 12, 13, 14, 18, 19, 20, 21 và 23 các nội dung thực hiện tại địa bàn xã, phường, đặc khu Bảng này được tính bằng 1,5 lần.</v>
      </c>
      <c r="C333" s="946"/>
      <c r="D333" s="946"/>
      <c r="E333" s="946"/>
      <c r="F333" s="946"/>
      <c r="G333" s="946"/>
      <c r="H333" s="946"/>
      <c r="I333" s="946"/>
      <c r="J333" s="947"/>
      <c r="K333" s="947"/>
    </row>
    <row r="334" spans="1:11" s="50" customFormat="1" ht="30" customHeight="1">
      <c r="A334" s="49" t="str">
        <f>L_CViec!A265</f>
        <v>6</v>
      </c>
      <c r="B334" s="946" t="str">
        <f>L_CViec!B265</f>
        <v>(6) Trường hợp có kê khai đăng ký, nhưng người sử dụng đất không đổi GCN thì định mức được tính bằng 90% định mức quy định đối với trường hợp cấp đổi GCN tại Bảng 9.</v>
      </c>
      <c r="C334" s="946"/>
      <c r="D334" s="946"/>
      <c r="E334" s="946"/>
      <c r="F334" s="946"/>
      <c r="G334" s="946"/>
      <c r="H334" s="946"/>
      <c r="I334" s="946"/>
      <c r="J334" s="947"/>
      <c r="K334" s="947"/>
    </row>
    <row r="335" spans="1:11" s="50" customFormat="1" ht="30" customHeight="1">
      <c r="A335" s="49" t="str">
        <f>L_CViec!A266</f>
        <v>7</v>
      </c>
      <c r="B335" s="946" t="str">
        <f>L_CViec!B266</f>
        <v>(7) Đơn vị tính tại Bảng này trong trường hợp sử dụng là “Bộ/đĩa”, “Bộ/xã, phường, đặc khu” được tính trung bình cho 20.000 hồ sơ/1 xã, phường, đặc khu; trong trường hợp sử dụng là “Tờ” được tính trung bình 250 tờ bản đồ/1 xã, phường, đặc khu.</v>
      </c>
      <c r="C335" s="946"/>
      <c r="D335" s="946"/>
      <c r="E335" s="946"/>
      <c r="F335" s="946"/>
      <c r="G335" s="946"/>
      <c r="H335" s="946"/>
      <c r="I335" s="946"/>
      <c r="J335" s="947"/>
      <c r="K335" s="947"/>
    </row>
    <row r="336" spans="1:11" s="50" customFormat="1" ht="30" customHeight="1">
      <c r="A336" s="49" t="str">
        <f>L_CViec!A267</f>
        <v>8</v>
      </c>
      <c r="B336" s="946" t="str">
        <f>L_CViec!B267</f>
        <v>(8) Đơn vị tính tại Bảng này trong trường hợp sử dụng là “Điểm” được tính trung bình cho 10 điểm/1 xã, phường, đặc khu và “Cuộc” được tính trung bình cho 10 cuộc/1 xã, phường, đặc khu.</v>
      </c>
      <c r="C336" s="946"/>
      <c r="D336" s="946"/>
      <c r="E336" s="946"/>
      <c r="F336" s="946"/>
      <c r="G336" s="946"/>
      <c r="H336" s="946"/>
      <c r="I336" s="946"/>
      <c r="J336" s="947"/>
      <c r="K336" s="947"/>
    </row>
    <row r="337" spans="1:16" s="24" customFormat="1">
      <c r="A337" s="24" t="s">
        <v>304</v>
      </c>
      <c r="B337" s="274"/>
      <c r="C337" s="275"/>
      <c r="D337" s="275"/>
      <c r="E337" s="275"/>
      <c r="F337" s="275"/>
      <c r="G337" s="276"/>
      <c r="H337" s="277"/>
      <c r="I337" s="277"/>
      <c r="J337" s="742"/>
      <c r="K337" s="277"/>
    </row>
    <row r="338" spans="1:16" s="23" customFormat="1" ht="15" customHeight="1">
      <c r="A338" s="952" t="s">
        <v>23</v>
      </c>
      <c r="B338" s="478" t="s">
        <v>44</v>
      </c>
      <c r="C338" s="944" t="s">
        <v>38</v>
      </c>
      <c r="D338" s="479"/>
      <c r="E338" s="944" t="s">
        <v>16</v>
      </c>
      <c r="F338" s="479" t="s">
        <v>96</v>
      </c>
      <c r="G338" s="943" t="s">
        <v>297</v>
      </c>
      <c r="H338" s="943"/>
      <c r="I338" s="943"/>
      <c r="J338" s="941" t="s">
        <v>309</v>
      </c>
      <c r="K338" s="943" t="s">
        <v>35</v>
      </c>
      <c r="L338" s="943"/>
      <c r="M338" s="943"/>
      <c r="N338" s="942" t="s">
        <v>313</v>
      </c>
      <c r="O338" s="942"/>
      <c r="P338" s="942"/>
    </row>
    <row r="339" spans="1:16" s="23" customFormat="1" ht="26">
      <c r="A339" s="952"/>
      <c r="B339" s="478"/>
      <c r="C339" s="944"/>
      <c r="D339" s="479"/>
      <c r="E339" s="944"/>
      <c r="F339" s="479" t="s">
        <v>24</v>
      </c>
      <c r="G339" s="480" t="s">
        <v>316</v>
      </c>
      <c r="H339" s="480" t="s">
        <v>315</v>
      </c>
      <c r="I339" s="480" t="s">
        <v>314</v>
      </c>
      <c r="J339" s="942"/>
      <c r="K339" s="480" t="s">
        <v>316</v>
      </c>
      <c r="L339" s="480" t="s">
        <v>315</v>
      </c>
      <c r="M339" s="480" t="s">
        <v>314</v>
      </c>
      <c r="N339" s="747" t="s">
        <v>316</v>
      </c>
      <c r="O339" s="747" t="s">
        <v>315</v>
      </c>
      <c r="P339" s="748" t="s">
        <v>314</v>
      </c>
    </row>
    <row r="340" spans="1:16" s="50" customFormat="1" ht="25.9" customHeight="1">
      <c r="A340" s="604" t="str">
        <f>L_CViec!A268</f>
        <v>V</v>
      </c>
      <c r="B340" s="972" t="str">
        <f>L_CViec!B268</f>
        <v>Đăng ký, cấp đổi, cấp lại Giấy chứng nhận riêng lẻ đối với hộ gia đình, cá nhân, cộng đồng dân cư, người gốc Việt Nam định cư ở nước ngoài</v>
      </c>
      <c r="C340" s="972"/>
      <c r="D340" s="972"/>
      <c r="E340" s="972"/>
      <c r="F340" s="972"/>
      <c r="G340" s="972"/>
      <c r="H340" s="972"/>
      <c r="I340" s="972"/>
      <c r="J340" s="972"/>
      <c r="K340" s="475"/>
      <c r="L340" s="475"/>
      <c r="M340" s="475"/>
      <c r="N340" s="707"/>
      <c r="O340" s="707"/>
      <c r="P340" s="707"/>
    </row>
    <row r="341" spans="1:16" s="50" customFormat="1" ht="27.75" customHeight="1">
      <c r="A341" s="223" t="str">
        <f>L_CViec!A269</f>
        <v>V.1</v>
      </c>
      <c r="B341" s="408" t="s">
        <v>731</v>
      </c>
      <c r="C341" s="408">
        <f>L_CViec!AD269</f>
        <v>0</v>
      </c>
      <c r="D341" s="408"/>
      <c r="E341" s="408">
        <f>L_CViec!AE269</f>
        <v>0</v>
      </c>
      <c r="F341" s="408">
        <f>L_CViec!AF269</f>
        <v>0</v>
      </c>
      <c r="G341" s="223"/>
      <c r="H341" s="475"/>
      <c r="I341" s="475"/>
      <c r="J341" s="718">
        <f>L_CViec!AJ269</f>
        <v>0</v>
      </c>
      <c r="K341" s="767">
        <f>SUM(K345,K346,K347,K354,K370,K373,K375,K357,K358,K367,K365,K377,K379,K380,K386,K387,K388,K350,K351,K383,K384,K385)</f>
        <v>940725.09299999999</v>
      </c>
      <c r="L341" s="767">
        <f t="shared" ref="L341:P341" si="58">SUM(L345,L346,L347,L354,L370,L373,L375,L357,L358,L367,L365,L377,L379,L380,L386,L387,L388,L350,L351,L383,L384,L385)</f>
        <v>872167.65899999999</v>
      </c>
      <c r="M341" s="767">
        <f t="shared" si="58"/>
        <v>1227227.1000000001</v>
      </c>
      <c r="N341" s="767">
        <f t="shared" si="58"/>
        <v>27966.230769230762</v>
      </c>
      <c r="O341" s="767">
        <f t="shared" si="58"/>
        <v>26068.730769230766</v>
      </c>
      <c r="P341" s="767">
        <f t="shared" si="58"/>
        <v>36490.384615384624</v>
      </c>
    </row>
    <row r="342" spans="1:16" s="50" customFormat="1" ht="27.75" customHeight="1">
      <c r="A342" s="223" t="s">
        <v>135</v>
      </c>
      <c r="B342" s="408" t="s">
        <v>732</v>
      </c>
      <c r="C342" s="408"/>
      <c r="D342" s="408"/>
      <c r="E342" s="408"/>
      <c r="F342" s="408"/>
      <c r="G342" s="223"/>
      <c r="H342" s="475"/>
      <c r="I342" s="475"/>
      <c r="J342" s="718"/>
      <c r="K342" s="475">
        <f>SUM(K345,K346,K347,K354,K370,K373,K375,K360,K361,K364,K367,K362,K363,K365,K377,K379,K380,K386,K387,K388,K350,K351,K383,K384,K385)</f>
        <v>1070946.723</v>
      </c>
      <c r="L342" s="475">
        <f t="shared" ref="L342:P342" si="59">SUM(L345,L346,L347,L354,L370,L373,L375,L360,L361,L364,L367,L362,L363,L365,L377,L379,L380,L386,L387,L388,L350,L351,L383,L384,L385)</f>
        <v>1002389.289</v>
      </c>
      <c r="M342" s="475">
        <f t="shared" si="59"/>
        <v>1376506.0815000003</v>
      </c>
      <c r="N342" s="475">
        <f t="shared" si="59"/>
        <v>30496.230769230762</v>
      </c>
      <c r="O342" s="475">
        <f t="shared" si="59"/>
        <v>28598.730769230766</v>
      </c>
      <c r="P342" s="475">
        <f t="shared" si="59"/>
        <v>39098.23076923078</v>
      </c>
    </row>
    <row r="343" spans="1:16" s="50" customFormat="1" ht="24" customHeight="1">
      <c r="A343" s="226" t="str">
        <f>L_CViec!A270</f>
        <v>1</v>
      </c>
      <c r="B343" s="225" t="str">
        <f>L_CViec!B270</f>
        <v>Hướng dẫn lập hồ sơ đề nghị đăng ký, cấp đổi, cấp lại GCN</v>
      </c>
      <c r="C343" s="226">
        <f>L_CViec!AD270</f>
        <v>0</v>
      </c>
      <c r="D343" s="226"/>
      <c r="E343" s="226">
        <f>L_CViec!AE270</f>
        <v>0</v>
      </c>
      <c r="F343" s="226">
        <f>L_CViec!AF270</f>
        <v>0</v>
      </c>
      <c r="G343" s="226">
        <f>L_CViec!AG270</f>
        <v>0</v>
      </c>
      <c r="H343" s="283">
        <f>L_CViec!AH270</f>
        <v>0</v>
      </c>
      <c r="I343" s="283">
        <f>L_CViec!AI270</f>
        <v>0</v>
      </c>
      <c r="J343" s="718">
        <f>L_CViec!AJ270</f>
        <v>0</v>
      </c>
      <c r="K343" s="127"/>
      <c r="L343" s="127"/>
      <c r="M343" s="127"/>
      <c r="N343" s="718"/>
      <c r="O343" s="718"/>
      <c r="P343" s="718"/>
    </row>
    <row r="344" spans="1:16" s="66" customFormat="1">
      <c r="A344" s="226" t="str">
        <f>L_CViec!A271</f>
        <v>1.1</v>
      </c>
      <c r="B344" s="225" t="str">
        <f>L_CViec!B271</f>
        <v>Theo hình thức trực tiếp</v>
      </c>
      <c r="C344" s="226" t="str">
        <f>L_CViec!AD271</f>
        <v>Hồ sơ</v>
      </c>
      <c r="D344" s="226">
        <f>L_CViec!AC271</f>
        <v>1</v>
      </c>
      <c r="E344" s="226" t="str">
        <f>L_CViec!AE271</f>
        <v>1KS2</v>
      </c>
      <c r="F344" s="226" t="str">
        <f>L_CViec!AF271</f>
        <v>1-3</v>
      </c>
      <c r="G344" s="226">
        <f>L_CViec!AG271</f>
        <v>0.15</v>
      </c>
      <c r="H344" s="283">
        <f>L_CViec!AH271</f>
        <v>0.15</v>
      </c>
      <c r="I344" s="283">
        <f>L_CViec!AI271</f>
        <v>0.19500000000000001</v>
      </c>
      <c r="J344" s="718">
        <f>L_CViec!AJ271</f>
        <v>320867.25</v>
      </c>
      <c r="K344" s="127">
        <f t="shared" ref="K344:M361" si="60">G344*$J344</f>
        <v>48130.087500000001</v>
      </c>
      <c r="L344" s="127">
        <f t="shared" si="60"/>
        <v>48130.087500000001</v>
      </c>
      <c r="M344" s="127">
        <f>I344*$J344</f>
        <v>62569.113750000004</v>
      </c>
      <c r="N344" s="718">
        <f>$D344*G344*L_CBac!$J$68</f>
        <v>1459.6153846153845</v>
      </c>
      <c r="O344" s="718">
        <f>$D344*H344*L_CBac!$J$68</f>
        <v>1459.6153846153845</v>
      </c>
      <c r="P344" s="718">
        <f>$D344*I344*L_CBac!$J$68</f>
        <v>1897.5</v>
      </c>
    </row>
    <row r="345" spans="1:16" s="66" customFormat="1" ht="17.25" customHeight="1">
      <c r="A345" s="226" t="str">
        <f>L_CViec!A272</f>
        <v>1.2</v>
      </c>
      <c r="B345" s="225" t="str">
        <f>L_CViec!B272</f>
        <v>Theo hình thức trực tuyến</v>
      </c>
      <c r="C345" s="226" t="str">
        <f>L_CViec!AD272</f>
        <v>Hồ sơ</v>
      </c>
      <c r="D345" s="226">
        <f>L_CViec!AC272</f>
        <v>1</v>
      </c>
      <c r="E345" s="226" t="str">
        <f>L_CViec!AE272</f>
        <v>1KS2</v>
      </c>
      <c r="F345" s="226" t="str">
        <f>L_CViec!AF272</f>
        <v>1-3</v>
      </c>
      <c r="G345" s="226">
        <f>L_CViec!AG272</f>
        <v>0.1</v>
      </c>
      <c r="H345" s="283">
        <f>L_CViec!AH272</f>
        <v>0.1</v>
      </c>
      <c r="I345" s="283">
        <f>L_CViec!AI272</f>
        <v>0.13</v>
      </c>
      <c r="J345" s="718">
        <f>L_CViec!AJ272</f>
        <v>320867.25</v>
      </c>
      <c r="K345" s="127">
        <f t="shared" si="60"/>
        <v>32086.725000000002</v>
      </c>
      <c r="L345" s="127">
        <f t="shared" si="60"/>
        <v>32086.725000000002</v>
      </c>
      <c r="M345" s="608">
        <f t="shared" si="60"/>
        <v>41712.7425</v>
      </c>
      <c r="N345" s="718">
        <f>$D345*G345*L_CBac!$J$68</f>
        <v>973.07692307692309</v>
      </c>
      <c r="O345" s="718">
        <f>$D345*H345*L_CBac!$J$68</f>
        <v>973.07692307692309</v>
      </c>
      <c r="P345" s="718">
        <f>$D345*I345*L_CBac!$J$68</f>
        <v>1265</v>
      </c>
    </row>
    <row r="346" spans="1:16" s="50" customFormat="1" ht="39">
      <c r="A346" s="226" t="str">
        <f>L_CViec!A273</f>
        <v>2</v>
      </c>
      <c r="B346" s="225" t="str">
        <f>L_CViec!B273</f>
        <v>Nhận, kiểm tra tính đầy đủ, hợp lệ và viết (xuất) giấy biên nhận hoặc trả lại hồ sơ, vào sổ theo dõi nhận, trả hồ sơ (theo hình thức trực tiếp, trực tuyến)</v>
      </c>
      <c r="C346" s="226" t="str">
        <f>L_CViec!AD273</f>
        <v>Hồ sơ</v>
      </c>
      <c r="D346" s="226">
        <f>L_CViec!AC273</f>
        <v>1</v>
      </c>
      <c r="E346" s="226" t="str">
        <f>L_CViec!AE273</f>
        <v>1KS2</v>
      </c>
      <c r="F346" s="226" t="str">
        <f>L_CViec!AF273</f>
        <v>1-3</v>
      </c>
      <c r="G346" s="226">
        <f>L_CViec!AG273</f>
        <v>0.2</v>
      </c>
      <c r="H346" s="283">
        <f>L_CViec!AH273</f>
        <v>0.2</v>
      </c>
      <c r="I346" s="283">
        <f>L_CViec!AI273</f>
        <v>0.26</v>
      </c>
      <c r="J346" s="718">
        <f>L_CViec!AJ273</f>
        <v>320867.25</v>
      </c>
      <c r="K346" s="127">
        <f t="shared" si="60"/>
        <v>64173.450000000004</v>
      </c>
      <c r="L346" s="127">
        <f t="shared" si="60"/>
        <v>64173.450000000004</v>
      </c>
      <c r="M346" s="608">
        <f t="shared" si="60"/>
        <v>83425.485000000001</v>
      </c>
      <c r="N346" s="718">
        <f>$D346*G346*L_CBac!$J$68</f>
        <v>1946.1538461538462</v>
      </c>
      <c r="O346" s="718">
        <f>$D346*H346*L_CBac!$J$68</f>
        <v>1946.1538461538462</v>
      </c>
      <c r="P346" s="718">
        <f>$D346*I346*L_CBac!$J$68</f>
        <v>2530</v>
      </c>
    </row>
    <row r="347" spans="1:16" s="50" customFormat="1" ht="26">
      <c r="A347" s="226" t="str">
        <f>L_CViec!A274</f>
        <v>3</v>
      </c>
      <c r="B347" s="225" t="str">
        <f>L_CViec!B274</f>
        <v>Tạo tệp (File) dữ liệu hồ sơ số và nhập thông tin do người sử dụng đất kê khai, đăng ký</v>
      </c>
      <c r="C347" s="226" t="str">
        <f>L_CViec!AD274</f>
        <v>Thửa</v>
      </c>
      <c r="D347" s="226">
        <f>L_CViec!AC274</f>
        <v>1</v>
      </c>
      <c r="E347" s="226" t="str">
        <f>L_CViec!AE274</f>
        <v>1KS3</v>
      </c>
      <c r="F347" s="226" t="str">
        <f>L_CViec!AF274</f>
        <v>1-3</v>
      </c>
      <c r="G347" s="226">
        <f>L_CViec!AG274</f>
        <v>0.107</v>
      </c>
      <c r="H347" s="283">
        <f>L_CViec!AH274</f>
        <v>3.3000000000000002E-2</v>
      </c>
      <c r="I347" s="283">
        <f>L_CViec!AI274</f>
        <v>0.16700000000000001</v>
      </c>
      <c r="J347" s="718">
        <f>L_CViec!AJ274</f>
        <v>360525</v>
      </c>
      <c r="K347" s="127">
        <f t="shared" si="60"/>
        <v>38576.174999999996</v>
      </c>
      <c r="L347" s="127">
        <f t="shared" si="60"/>
        <v>11897.325000000001</v>
      </c>
      <c r="M347" s="608">
        <f t="shared" si="60"/>
        <v>60207.675000000003</v>
      </c>
      <c r="N347" s="718">
        <f>$D347*G347*L_CBac!$J$68</f>
        <v>1041.1923076923076</v>
      </c>
      <c r="O347" s="718">
        <f>$D347*H347*L_CBac!$J$68</f>
        <v>321.11538461538464</v>
      </c>
      <c r="P347" s="718">
        <f>$D347*I347*L_CBac!$J$68</f>
        <v>1625.0384615384617</v>
      </c>
    </row>
    <row r="348" spans="1:16" s="183" customFormat="1" ht="26">
      <c r="A348" s="226" t="str">
        <f>L_CViec!A275</f>
        <v>4</v>
      </c>
      <c r="B348" s="225" t="str">
        <f>L_CViec!B275</f>
        <v>Quét giấy tờ pháp lý về quyền sử dụng đất, quyền sở hữu nhà ở và tài sản khác gắn liền với đất</v>
      </c>
      <c r="C348" s="226">
        <f>L_CViec!AD275</f>
        <v>0</v>
      </c>
      <c r="D348" s="226">
        <f>L_CViec!AC275</f>
        <v>0</v>
      </c>
      <c r="E348" s="226">
        <f>L_CViec!AE275</f>
        <v>0</v>
      </c>
      <c r="F348" s="226">
        <f>L_CViec!AF275</f>
        <v>0</v>
      </c>
      <c r="G348" s="226">
        <f>L_CViec!AG275</f>
        <v>0</v>
      </c>
      <c r="H348" s="283">
        <f>L_CViec!AH275</f>
        <v>0</v>
      </c>
      <c r="I348" s="283">
        <f>L_CViec!AI275</f>
        <v>0</v>
      </c>
      <c r="J348" s="718">
        <f>L_CViec!AJ275</f>
        <v>0</v>
      </c>
      <c r="K348" s="127">
        <f t="shared" si="60"/>
        <v>0</v>
      </c>
      <c r="L348" s="127">
        <f t="shared" si="60"/>
        <v>0</v>
      </c>
      <c r="M348" s="127">
        <f t="shared" si="60"/>
        <v>0</v>
      </c>
      <c r="N348" s="718">
        <f>$D348*G348*L_CBac!$J$68</f>
        <v>0</v>
      </c>
      <c r="O348" s="718">
        <f>$D348*H348*L_CBac!$J$68</f>
        <v>0</v>
      </c>
      <c r="P348" s="718">
        <f>$D348*I348*L_CBac!$J$68</f>
        <v>0</v>
      </c>
    </row>
    <row r="349" spans="1:16" s="183" customFormat="1">
      <c r="A349" s="226" t="str">
        <f>L_CViec!A276</f>
        <v>4.1</v>
      </c>
      <c r="B349" s="225" t="str">
        <f>L_CViec!B276</f>
        <v>Quét trang A3</v>
      </c>
      <c r="C349" s="226" t="str">
        <f>L_CViec!AD276</f>
        <v>Trang</v>
      </c>
      <c r="D349" s="226">
        <f>L_CViec!AC276</f>
        <v>1</v>
      </c>
      <c r="E349" s="226" t="str">
        <f>L_CViec!AE276</f>
        <v>1KS1</v>
      </c>
      <c r="F349" s="226" t="str">
        <f>L_CViec!AF276</f>
        <v>1-3</v>
      </c>
      <c r="G349" s="226">
        <f>L_CViec!AG276</f>
        <v>1.6E-2</v>
      </c>
      <c r="H349" s="283">
        <f>L_CViec!AH276</f>
        <v>0.02</v>
      </c>
      <c r="I349" s="283">
        <f>L_CViec!AI276</f>
        <v>2.4E-2</v>
      </c>
      <c r="J349" s="718">
        <f>L_CViec!AJ276</f>
        <v>281209.5</v>
      </c>
      <c r="K349" s="127">
        <f t="shared" si="60"/>
        <v>4499.3519999999999</v>
      </c>
      <c r="L349" s="127">
        <f t="shared" si="60"/>
        <v>5624.1900000000005</v>
      </c>
      <c r="M349" s="127">
        <f t="shared" si="60"/>
        <v>6749.0280000000002</v>
      </c>
      <c r="N349" s="718">
        <f>$D349*G349*L_CBac!$J$68</f>
        <v>155.69230769230768</v>
      </c>
      <c r="O349" s="718">
        <f>$D349*H349*L_CBac!$J$68</f>
        <v>194.61538461538461</v>
      </c>
      <c r="P349" s="718">
        <f>$D349*I349*L_CBac!$J$68</f>
        <v>233.53846153846155</v>
      </c>
    </row>
    <row r="350" spans="1:16" s="183" customFormat="1">
      <c r="A350" s="226" t="str">
        <f>L_CViec!A277</f>
        <v>4.2</v>
      </c>
      <c r="B350" s="225" t="str">
        <f>L_CViec!B277</f>
        <v>Quét trang A4</v>
      </c>
      <c r="C350" s="226" t="str">
        <f>L_CViec!AD277</f>
        <v>Trang</v>
      </c>
      <c r="D350" s="226">
        <f>L_CViec!AC277</f>
        <v>1</v>
      </c>
      <c r="E350" s="226" t="str">
        <f>L_CViec!AE277</f>
        <v>1KS1</v>
      </c>
      <c r="F350" s="226" t="str">
        <f>L_CViec!AF277</f>
        <v>1-3</v>
      </c>
      <c r="G350" s="226">
        <f>L_CViec!AG277</f>
        <v>8.0000000000000002E-3</v>
      </c>
      <c r="H350" s="283">
        <f>L_CViec!AH277</f>
        <v>0.01</v>
      </c>
      <c r="I350" s="283">
        <f>L_CViec!AI277</f>
        <v>1.2E-2</v>
      </c>
      <c r="J350" s="718">
        <f>L_CViec!AJ277</f>
        <v>281209.5</v>
      </c>
      <c r="K350" s="127">
        <f t="shared" si="60"/>
        <v>2249.6759999999999</v>
      </c>
      <c r="L350" s="127">
        <f t="shared" si="60"/>
        <v>2812.0950000000003</v>
      </c>
      <c r="M350" s="127">
        <f t="shared" si="60"/>
        <v>3374.5140000000001</v>
      </c>
      <c r="N350" s="718">
        <f>$D350*G350*L_CBac!$J$68</f>
        <v>77.84615384615384</v>
      </c>
      <c r="O350" s="718">
        <f>$D350*H350*L_CBac!$J$68</f>
        <v>97.307692307692307</v>
      </c>
      <c r="P350" s="718">
        <f>$D350*I350*L_CBac!$J$68</f>
        <v>116.76923076923077</v>
      </c>
    </row>
    <row r="351" spans="1:16" s="183" customFormat="1" ht="26">
      <c r="A351" s="226" t="str">
        <f>L_CViec!A278</f>
        <v>5</v>
      </c>
      <c r="B351" s="225" t="str">
        <f>L_CViec!B278</f>
        <v>Xử lý các tệp tin quét thành tệp (File) hồ sơ quét dạng số của thửa đất, lưu trữ dưới khuôn dạng tệp tin PDF</v>
      </c>
      <c r="C351" s="226" t="str">
        <f>L_CViec!AD278</f>
        <v>Trang</v>
      </c>
      <c r="D351" s="226">
        <f>L_CViec!AC278</f>
        <v>1</v>
      </c>
      <c r="E351" s="226" t="str">
        <f>L_CViec!AE278</f>
        <v>1KS1</v>
      </c>
      <c r="F351" s="226" t="str">
        <f>L_CViec!AF278</f>
        <v>1-3</v>
      </c>
      <c r="G351" s="226">
        <f>L_CViec!AG278</f>
        <v>4.0000000000000001E-3</v>
      </c>
      <c r="H351" s="283">
        <f>L_CViec!AH278</f>
        <v>5.0000000000000001E-3</v>
      </c>
      <c r="I351" s="283">
        <f>L_CViec!AI278</f>
        <v>6.0000000000000001E-3</v>
      </c>
      <c r="J351" s="718">
        <f>L_CViec!AJ278</f>
        <v>281209.5</v>
      </c>
      <c r="K351" s="127">
        <f t="shared" si="60"/>
        <v>1124.838</v>
      </c>
      <c r="L351" s="127">
        <f t="shared" si="60"/>
        <v>1406.0475000000001</v>
      </c>
      <c r="M351" s="127">
        <f t="shared" si="60"/>
        <v>1687.2570000000001</v>
      </c>
      <c r="N351" s="718">
        <f>$D351*G351*L_CBac!$J$68</f>
        <v>38.92307692307692</v>
      </c>
      <c r="O351" s="718">
        <f>$D351*H351*L_CBac!$J$68</f>
        <v>48.653846153846153</v>
      </c>
      <c r="P351" s="718">
        <f>$D351*I351*L_CBac!$J$68</f>
        <v>58.384615384615387</v>
      </c>
    </row>
    <row r="352" spans="1:16" s="183" customFormat="1">
      <c r="A352" s="226">
        <f>L_CViec!A279</f>
        <v>6</v>
      </c>
      <c r="B352" s="225" t="str">
        <f>L_CViec!B279</f>
        <v>Chuyển hồ sơ đến Văn phòng đăng ký đất đai</v>
      </c>
      <c r="C352" s="226">
        <f>L_CViec!AD279</f>
        <v>0</v>
      </c>
      <c r="D352" s="226">
        <f>L_CViec!AC279</f>
        <v>0</v>
      </c>
      <c r="E352" s="226">
        <f>L_CViec!AE279</f>
        <v>0</v>
      </c>
      <c r="F352" s="226">
        <f>L_CViec!AF279</f>
        <v>0</v>
      </c>
      <c r="G352" s="226">
        <f>L_CViec!AG279</f>
        <v>0</v>
      </c>
      <c r="H352" s="283">
        <f>L_CViec!AH279</f>
        <v>0</v>
      </c>
      <c r="I352" s="283">
        <f>L_CViec!AI279</f>
        <v>0</v>
      </c>
      <c r="J352" s="718">
        <f>L_CViec!AJ279</f>
        <v>0</v>
      </c>
      <c r="K352" s="127">
        <f t="shared" si="60"/>
        <v>0</v>
      </c>
      <c r="L352" s="127">
        <f t="shared" si="60"/>
        <v>0</v>
      </c>
      <c r="M352" s="127">
        <f t="shared" si="60"/>
        <v>0</v>
      </c>
      <c r="N352" s="718">
        <f>$D352*G352*L_CBac!$J$68</f>
        <v>0</v>
      </c>
      <c r="O352" s="718">
        <f>$D352*H352*L_CBac!$J$68</f>
        <v>0</v>
      </c>
      <c r="P352" s="718">
        <f>$D352*I352*L_CBac!$J$68</f>
        <v>0</v>
      </c>
    </row>
    <row r="353" spans="1:16" s="183" customFormat="1">
      <c r="A353" s="226">
        <f>L_CViec!A280</f>
        <v>6.1</v>
      </c>
      <c r="B353" s="225" t="str">
        <f>L_CViec!B280</f>
        <v>Theo hình thức trực tiếp</v>
      </c>
      <c r="C353" s="226" t="str">
        <f>L_CViec!AD280</f>
        <v>Hồ sơ</v>
      </c>
      <c r="D353" s="226">
        <f>L_CViec!AC280</f>
        <v>1</v>
      </c>
      <c r="E353" s="226" t="str">
        <f>L_CViec!AE280</f>
        <v>1KS2</v>
      </c>
      <c r="F353" s="226" t="str">
        <f>L_CViec!AF280</f>
        <v>1-3</v>
      </c>
      <c r="G353" s="226">
        <f>L_CViec!AG280</f>
        <v>0.05</v>
      </c>
      <c r="H353" s="283">
        <f>L_CViec!AH280</f>
        <v>0.05</v>
      </c>
      <c r="I353" s="283">
        <f>L_CViec!AI280</f>
        <v>0.05</v>
      </c>
      <c r="J353" s="718">
        <f>L_CViec!AJ280</f>
        <v>320867.25</v>
      </c>
      <c r="K353" s="127">
        <f t="shared" si="60"/>
        <v>16043.362500000001</v>
      </c>
      <c r="L353" s="127">
        <f t="shared" si="60"/>
        <v>16043.362500000001</v>
      </c>
      <c r="M353" s="127">
        <f t="shared" si="60"/>
        <v>16043.362500000001</v>
      </c>
      <c r="N353" s="718">
        <f>$D353*G353*L_CBac!$J$68</f>
        <v>486.53846153846155</v>
      </c>
      <c r="O353" s="718">
        <f>$D353*H353*L_CBac!$J$68</f>
        <v>486.53846153846155</v>
      </c>
      <c r="P353" s="718">
        <f>$D353*I353*L_CBac!$J$68</f>
        <v>486.53846153846155</v>
      </c>
    </row>
    <row r="354" spans="1:16" s="50" customFormat="1" ht="28.5" customHeight="1">
      <c r="A354" s="226">
        <f>L_CViec!A281</f>
        <v>6.2</v>
      </c>
      <c r="B354" s="225" t="str">
        <f>L_CViec!B281</f>
        <v>Theo hình thức trực tuyến</v>
      </c>
      <c r="C354" s="226" t="str">
        <f>L_CViec!AD281</f>
        <v>Hồ sơ</v>
      </c>
      <c r="D354" s="226">
        <f>L_CViec!AC281</f>
        <v>1</v>
      </c>
      <c r="E354" s="226" t="str">
        <f>L_CViec!AE281</f>
        <v>1KS2</v>
      </c>
      <c r="F354" s="226" t="str">
        <f>L_CViec!AF281</f>
        <v>1-3</v>
      </c>
      <c r="G354" s="226">
        <f>L_CViec!AG281</f>
        <v>0.04</v>
      </c>
      <c r="H354" s="283">
        <f>L_CViec!AH281</f>
        <v>0.04</v>
      </c>
      <c r="I354" s="283">
        <f>L_CViec!AI281</f>
        <v>0.04</v>
      </c>
      <c r="J354" s="718">
        <f>L_CViec!AJ281</f>
        <v>320867.25</v>
      </c>
      <c r="K354" s="127">
        <f t="shared" si="60"/>
        <v>12834.69</v>
      </c>
      <c r="L354" s="127">
        <f t="shared" si="60"/>
        <v>12834.69</v>
      </c>
      <c r="M354" s="608">
        <f t="shared" si="60"/>
        <v>12834.69</v>
      </c>
      <c r="N354" s="718">
        <f>$D354*G354*L_CBac!$J$68</f>
        <v>389.23076923076923</v>
      </c>
      <c r="O354" s="718">
        <f>$D354*H354*L_CBac!$J$68</f>
        <v>389.23076923076923</v>
      </c>
      <c r="P354" s="718">
        <f>$D354*I354*L_CBac!$J$68</f>
        <v>389.23076923076923</v>
      </c>
    </row>
    <row r="355" spans="1:16" s="183" customFormat="1" ht="26">
      <c r="A355" s="226" t="str">
        <f>L_CViec!A282</f>
        <v>7</v>
      </c>
      <c r="B355" s="225" t="str">
        <f>L_CViec!B282</f>
        <v>Kiểm tra hồ sơ đề nghị đăng ký, cấp đổi, cấp lại Giấy chứng nhận</v>
      </c>
      <c r="C355" s="226">
        <f>L_CViec!AD282</f>
        <v>0</v>
      </c>
      <c r="D355" s="226">
        <f>L_CViec!AC282</f>
        <v>0</v>
      </c>
      <c r="E355" s="226">
        <f>L_CViec!AE282</f>
        <v>0</v>
      </c>
      <c r="F355" s="226">
        <f>L_CViec!AF282</f>
        <v>0</v>
      </c>
      <c r="G355" s="226">
        <f>L_CViec!AG282</f>
        <v>0</v>
      </c>
      <c r="H355" s="283">
        <f>L_CViec!AH282</f>
        <v>0</v>
      </c>
      <c r="I355" s="283">
        <f>L_CViec!AI282</f>
        <v>0</v>
      </c>
      <c r="J355" s="718">
        <f>L_CViec!AJ282</f>
        <v>0</v>
      </c>
      <c r="K355" s="127">
        <f t="shared" si="60"/>
        <v>0</v>
      </c>
      <c r="L355" s="127">
        <f t="shared" si="60"/>
        <v>0</v>
      </c>
      <c r="M355" s="127">
        <f t="shared" si="60"/>
        <v>0</v>
      </c>
      <c r="N355" s="718">
        <f>$D355*G355*L_CBac!$J$68</f>
        <v>0</v>
      </c>
      <c r="O355" s="718">
        <f>$D355*H355*L_CBac!$J$68</f>
        <v>0</v>
      </c>
      <c r="P355" s="718">
        <f>$D355*I355*L_CBac!$J$68</f>
        <v>0</v>
      </c>
    </row>
    <row r="356" spans="1:16" s="183" customFormat="1">
      <c r="A356" s="226" t="str">
        <f>L_CViec!A283</f>
        <v>7.1</v>
      </c>
      <c r="B356" s="225" t="str">
        <f>L_CViec!B283</f>
        <v>Trường hợp cấp đổi Giấy chứng nhận</v>
      </c>
      <c r="C356" s="226">
        <f>L_CViec!AD283</f>
        <v>0</v>
      </c>
      <c r="D356" s="226">
        <f>L_CViec!AC283</f>
        <v>0</v>
      </c>
      <c r="E356" s="226">
        <f>L_CViec!AE283</f>
        <v>0</v>
      </c>
      <c r="F356" s="226">
        <f>L_CViec!AF283</f>
        <v>0</v>
      </c>
      <c r="G356" s="226">
        <f>L_CViec!AG283</f>
        <v>0</v>
      </c>
      <c r="H356" s="283">
        <f>L_CViec!AH283</f>
        <v>0</v>
      </c>
      <c r="I356" s="283">
        <f>L_CViec!AI283</f>
        <v>0</v>
      </c>
      <c r="J356" s="718">
        <f>L_CViec!AJ283</f>
        <v>0</v>
      </c>
      <c r="K356" s="127">
        <f t="shared" si="60"/>
        <v>0</v>
      </c>
      <c r="L356" s="127">
        <f t="shared" si="60"/>
        <v>0</v>
      </c>
      <c r="M356" s="127">
        <f t="shared" si="60"/>
        <v>0</v>
      </c>
      <c r="N356" s="718">
        <f>$D356*G356*L_CBac!$J$68</f>
        <v>0</v>
      </c>
      <c r="O356" s="718">
        <f>$D356*H356*L_CBac!$J$68</f>
        <v>0</v>
      </c>
      <c r="P356" s="718">
        <f>$D356*I356*L_CBac!$J$68</f>
        <v>0</v>
      </c>
    </row>
    <row r="357" spans="1:16" s="183" customFormat="1" ht="52">
      <c r="A357" s="226" t="str">
        <f>L_CViec!A284</f>
        <v>7.1.1</v>
      </c>
      <c r="B357" s="225" t="str">
        <f>L_CViec!B284</f>
        <v>Khai thác, sử dụng thông tin về tình trạng hôn nhân trong Cơ sở dữ liệu quốc gia về dân cư hoặc thông báo cho người sử dụng đất, chủ sở hữu tài sản gắn liền với đất nộp bản sao giấy đăng ký kết hôn hoặc giấy tờ khác về tình trạng hôn nhân</v>
      </c>
      <c r="C357" s="226" t="str">
        <f>L_CViec!AD284</f>
        <v>Hồ sơ</v>
      </c>
      <c r="D357" s="226">
        <f>L_CViec!AC284</f>
        <v>1</v>
      </c>
      <c r="E357" s="226" t="str">
        <f>L_CViec!AE284</f>
        <v>1KS3</v>
      </c>
      <c r="F357" s="226" t="str">
        <f>L_CViec!AF284</f>
        <v>1-3</v>
      </c>
      <c r="G357" s="226">
        <f>L_CViec!AG284</f>
        <v>0.1</v>
      </c>
      <c r="H357" s="283">
        <f>L_CViec!AH284</f>
        <v>0.1</v>
      </c>
      <c r="I357" s="283">
        <f>L_CViec!AI284</f>
        <v>0.1</v>
      </c>
      <c r="J357" s="718">
        <f>L_CViec!AJ284</f>
        <v>360525</v>
      </c>
      <c r="K357" s="127">
        <f t="shared" si="60"/>
        <v>36052.5</v>
      </c>
      <c r="L357" s="127">
        <f t="shared" si="60"/>
        <v>36052.5</v>
      </c>
      <c r="M357" s="608">
        <f t="shared" si="60"/>
        <v>36052.5</v>
      </c>
      <c r="N357" s="718">
        <f>$D357*G357*L_CBac!$J$68</f>
        <v>973.07692307692309</v>
      </c>
      <c r="O357" s="718">
        <f>$D357*H357*L_CBac!$J$68</f>
        <v>973.07692307692309</v>
      </c>
      <c r="P357" s="718">
        <f>$D357*I357*L_CBac!$J$68</f>
        <v>973.07692307692309</v>
      </c>
    </row>
    <row r="358" spans="1:16" s="183" customFormat="1" ht="52">
      <c r="A358" s="226" t="str">
        <f>L_CViec!A285</f>
        <v>7.1.2</v>
      </c>
      <c r="B358" s="225" t="str">
        <f>L_CViec!B285</f>
        <v>Kiểm tra thực địa và đối chiếu với hồ sơ đăng ký, cấp Giấy chứng nhận đã cấp để xác định đúng vị trí thửa đất (đối với trường hợp vị trí thửa đất trên Giấy chứng nhận đã cấp không chính xác so với vị trí thực tế sử dụng đất)</v>
      </c>
      <c r="C358" s="226" t="str">
        <f>L_CViec!AD285</f>
        <v>Hồ sơ</v>
      </c>
      <c r="D358" s="226">
        <f>L_CViec!AC285</f>
        <v>2</v>
      </c>
      <c r="E358" s="226" t="str">
        <f>L_CViec!AE285</f>
        <v>Nhóm 2 (1KS2, 1KTV4)</v>
      </c>
      <c r="F358" s="226" t="str">
        <f>L_CViec!AF285</f>
        <v>1-3</v>
      </c>
      <c r="G358" s="226">
        <f>L_CViec!AG285</f>
        <v>0.5</v>
      </c>
      <c r="H358" s="283">
        <f>L_CViec!AH285</f>
        <v>0.5</v>
      </c>
      <c r="I358" s="283">
        <f>L_CViec!AI285</f>
        <v>0.7</v>
      </c>
      <c r="J358" s="718">
        <f>L_CViec!AJ285</f>
        <v>616497.75</v>
      </c>
      <c r="K358" s="127">
        <f t="shared" si="60"/>
        <v>308248.875</v>
      </c>
      <c r="L358" s="127">
        <f t="shared" si="60"/>
        <v>308248.875</v>
      </c>
      <c r="M358" s="629">
        <f t="shared" si="60"/>
        <v>431548.42499999999</v>
      </c>
      <c r="N358" s="718">
        <f>$D358*G358*L_CBac!$J$68</f>
        <v>9730.7692307692305</v>
      </c>
      <c r="O358" s="718">
        <f>$D358*H358*L_CBac!$J$68</f>
        <v>9730.7692307692305</v>
      </c>
      <c r="P358" s="718">
        <f>$D358*I358*L_CBac!$J$68</f>
        <v>13623.076923076922</v>
      </c>
    </row>
    <row r="359" spans="1:16" s="50" customFormat="1">
      <c r="A359" s="226">
        <f>L_CViec!A286</f>
        <v>7.2</v>
      </c>
      <c r="B359" s="225" t="str">
        <f>L_CViec!B286</f>
        <v>Trường hợp cấp lại Giấy chứng nhận</v>
      </c>
      <c r="C359" s="226">
        <f>L_CViec!AD286</f>
        <v>0</v>
      </c>
      <c r="D359" s="226">
        <f>L_CViec!AC286</f>
        <v>0</v>
      </c>
      <c r="E359" s="226">
        <f>L_CViec!AE286</f>
        <v>0</v>
      </c>
      <c r="F359" s="226">
        <f>L_CViec!AF286</f>
        <v>0</v>
      </c>
      <c r="G359" s="226">
        <f>L_CViec!AG286</f>
        <v>0</v>
      </c>
      <c r="H359" s="283">
        <f>L_CViec!AH286</f>
        <v>0</v>
      </c>
      <c r="I359" s="283">
        <f>L_CViec!AI286</f>
        <v>0</v>
      </c>
      <c r="J359" s="718">
        <f>L_CViec!AJ286</f>
        <v>0</v>
      </c>
      <c r="K359" s="127">
        <f t="shared" si="60"/>
        <v>0</v>
      </c>
      <c r="L359" s="127">
        <f t="shared" si="60"/>
        <v>0</v>
      </c>
      <c r="M359" s="127">
        <f t="shared" si="60"/>
        <v>0</v>
      </c>
      <c r="N359" s="718">
        <f>$D359*G359*L_CBac!$J$68</f>
        <v>0</v>
      </c>
      <c r="O359" s="718">
        <f>$D359*H359*L_CBac!$J$68</f>
        <v>0</v>
      </c>
      <c r="P359" s="718">
        <f>$D359*I359*L_CBac!$J$68</f>
        <v>0</v>
      </c>
    </row>
    <row r="360" spans="1:16" s="50" customFormat="1" ht="39">
      <c r="A360" s="226" t="str">
        <f>L_CViec!A287</f>
        <v>7.2.1</v>
      </c>
      <c r="B360" s="225" t="str">
        <f>L_CViec!B287</f>
        <v>Thông báo, trả lại hồ sơ cho người sử dụng đất, chủ sở hữu tài sản gắn liền với đất đối với trường hợp không đủ điều kiện thực hiện thủ tục đăng ký</v>
      </c>
      <c r="C360" s="226" t="str">
        <f>L_CViec!AD287</f>
        <v>Hồ sơ</v>
      </c>
      <c r="D360" s="226">
        <f>L_CViec!AC287</f>
        <v>1</v>
      </c>
      <c r="E360" s="226" t="str">
        <f>L_CViec!AE287</f>
        <v>1KS3</v>
      </c>
      <c r="F360" s="226" t="str">
        <f>L_CViec!AF287</f>
        <v>1-3</v>
      </c>
      <c r="G360" s="226">
        <f>L_CViec!AG287</f>
        <v>0.5</v>
      </c>
      <c r="H360" s="283">
        <f>L_CViec!AH287</f>
        <v>0.5</v>
      </c>
      <c r="I360" s="283">
        <f>L_CViec!AI287</f>
        <v>0.65</v>
      </c>
      <c r="J360" s="718">
        <f>L_CViec!AJ287</f>
        <v>360525</v>
      </c>
      <c r="K360" s="127">
        <f t="shared" ref="K360:M388" si="61">G360*$J360</f>
        <v>180262.5</v>
      </c>
      <c r="L360" s="127">
        <f t="shared" si="61"/>
        <v>180262.5</v>
      </c>
      <c r="M360" s="608">
        <f t="shared" si="60"/>
        <v>234341.25</v>
      </c>
      <c r="N360" s="718">
        <f>$D360*G360*L_CBac!$J$68</f>
        <v>4865.3846153846152</v>
      </c>
      <c r="O360" s="718">
        <f>$D360*H360*L_CBac!$J$68</f>
        <v>4865.3846153846152</v>
      </c>
      <c r="P360" s="718">
        <f>$D360*I360*L_CBac!$J$68</f>
        <v>6325</v>
      </c>
    </row>
    <row r="361" spans="1:16" s="66" customFormat="1" ht="39">
      <c r="A361" s="226" t="str">
        <f>L_CViec!A288</f>
        <v>7.2.2</v>
      </c>
      <c r="B361" s="225" t="str">
        <f>L_CViec!B288</f>
        <v>Chuyển thông tin đến Ủy ban nhân dân cấp xã, phường, nơi có đất để thực hiện các công việc đối với trường hợp cấp lại Giấy chứng nhận do bị mất</v>
      </c>
      <c r="C361" s="226" t="str">
        <f>L_CViec!AD288</f>
        <v>Hồ sơ</v>
      </c>
      <c r="D361" s="226">
        <f>L_CViec!AC288</f>
        <v>1</v>
      </c>
      <c r="E361" s="226" t="str">
        <f>L_CViec!AE288</f>
        <v>1KS2</v>
      </c>
      <c r="F361" s="226" t="str">
        <f>L_CViec!AF288</f>
        <v>1-3</v>
      </c>
      <c r="G361" s="226">
        <f>L_CViec!AG288</f>
        <v>0.15</v>
      </c>
      <c r="H361" s="283">
        <f>L_CViec!AH288</f>
        <v>0.15</v>
      </c>
      <c r="I361" s="283">
        <f>L_CViec!AI288</f>
        <v>0.19500000000000001</v>
      </c>
      <c r="J361" s="718">
        <f>L_CViec!AJ288</f>
        <v>320867.25</v>
      </c>
      <c r="K361" s="127">
        <f t="shared" si="61"/>
        <v>48130.087500000001</v>
      </c>
      <c r="L361" s="127">
        <f t="shared" si="60"/>
        <v>48130.087500000001</v>
      </c>
      <c r="M361" s="127">
        <f t="shared" si="60"/>
        <v>62569.113750000004</v>
      </c>
      <c r="N361" s="718">
        <f>$D361*G361*L_CBac!$J$68</f>
        <v>1459.6153846153845</v>
      </c>
      <c r="O361" s="718">
        <f>$D361*H361*L_CBac!$J$68</f>
        <v>1459.6153846153845</v>
      </c>
      <c r="P361" s="718">
        <f>$D361*I361*L_CBac!$J$68</f>
        <v>1897.5</v>
      </c>
    </row>
    <row r="362" spans="1:16" s="66" customFormat="1" ht="52">
      <c r="A362" s="226">
        <f>L_CViec!A289</f>
        <v>8</v>
      </c>
      <c r="B362" s="225" t="str">
        <f>L_CViec!B289</f>
        <v>Niêm yết công khai về việc mất Giấy chứng nhận đã cấp tại trụ sở Ủy ban nhân dân cấp xã, phường, và điểm dân cư nơi có đất; đồng thời tiếp nhận phản ánh trong thời gian niêm yết công khai về việc mất Giấy chứng nhận đã cấp</v>
      </c>
      <c r="C362" s="226" t="str">
        <f>L_CViec!AD289</f>
        <v>Hồ sơ</v>
      </c>
      <c r="D362" s="226">
        <f>L_CViec!AC289</f>
        <v>1</v>
      </c>
      <c r="E362" s="226" t="str">
        <f>L_CViec!AE289</f>
        <v>1KTV4</v>
      </c>
      <c r="F362" s="226" t="str">
        <f>L_CViec!AF289</f>
        <v>1-3</v>
      </c>
      <c r="G362" s="226">
        <f>L_CViec!AG289</f>
        <v>0.06</v>
      </c>
      <c r="H362" s="283">
        <f>L_CViec!AH289</f>
        <v>0.06</v>
      </c>
      <c r="I362" s="283">
        <f>L_CViec!AI289</f>
        <v>7.8E-2</v>
      </c>
      <c r="J362" s="718">
        <f>L_CViec!AJ289</f>
        <v>295630.50000000006</v>
      </c>
      <c r="K362" s="127">
        <f t="shared" si="61"/>
        <v>17737.830000000002</v>
      </c>
      <c r="L362" s="127">
        <f t="shared" si="61"/>
        <v>17737.830000000002</v>
      </c>
      <c r="M362" s="608">
        <f t="shared" si="61"/>
        <v>23059.179000000004</v>
      </c>
      <c r="N362" s="718">
        <f>$D362*G362*L_CBac!$J$68</f>
        <v>583.84615384615381</v>
      </c>
      <c r="O362" s="718">
        <f>$D362*H362*L_CBac!$J$68</f>
        <v>583.84615384615381</v>
      </c>
      <c r="P362" s="718">
        <f>$D362*I362*L_CBac!$J$68</f>
        <v>759</v>
      </c>
    </row>
    <row r="363" spans="1:16" s="305" customFormat="1" ht="26">
      <c r="A363" s="226">
        <f>L_CViec!A290</f>
        <v>9</v>
      </c>
      <c r="B363" s="225" t="str">
        <f>L_CViec!B290</f>
        <v>Lập biên bản kết thúc niêm yết và gửi đến Văn phòng đăng ký đất đai</v>
      </c>
      <c r="C363" s="226" t="str">
        <f>L_CViec!AD290</f>
        <v>Hồ sơ</v>
      </c>
      <c r="D363" s="226">
        <f>L_CViec!AC290</f>
        <v>1</v>
      </c>
      <c r="E363" s="226" t="str">
        <f>L_CViec!AE290</f>
        <v>1KS3</v>
      </c>
      <c r="F363" s="226" t="str">
        <f>L_CViec!AF290</f>
        <v>1-3</v>
      </c>
      <c r="G363" s="226">
        <f>L_CViec!AG290</f>
        <v>0.5</v>
      </c>
      <c r="H363" s="283">
        <f>L_CViec!AH290</f>
        <v>0.5</v>
      </c>
      <c r="I363" s="283">
        <f>L_CViec!AI290</f>
        <v>0.65</v>
      </c>
      <c r="J363" s="718">
        <f>L_CViec!AJ290</f>
        <v>360525</v>
      </c>
      <c r="K363" s="127">
        <f t="shared" si="61"/>
        <v>180262.5</v>
      </c>
      <c r="L363" s="127">
        <f t="shared" si="61"/>
        <v>180262.5</v>
      </c>
      <c r="M363" s="608">
        <f t="shared" si="61"/>
        <v>234341.25</v>
      </c>
      <c r="N363" s="718">
        <f>$D363*G363*L_CBac!$J$68</f>
        <v>4865.3846153846152</v>
      </c>
      <c r="O363" s="718">
        <f>$D363*H363*L_CBac!$J$68</f>
        <v>4865.3846153846152</v>
      </c>
      <c r="P363" s="718">
        <f>$D363*I363*L_CBac!$J$68</f>
        <v>6325</v>
      </c>
    </row>
    <row r="364" spans="1:16" s="305" customFormat="1" ht="65">
      <c r="A364" s="226">
        <f>L_CViec!A291</f>
        <v>10</v>
      </c>
      <c r="B364" s="225" t="str">
        <f>L_CViec!B291</f>
        <v>Đăng tin 03 lần trên phương tiện thông tin đại chúng ở địa phương trong thời gian 15 ngày về việc mất Giấy chứng nhận đã cấp đối với người gốc Việt Nam định cư ở nước ngoài, chi phí đăng tin do người sử dụng đất, chủ sở hữu tài sản gắn liền với đất chi trả</v>
      </c>
      <c r="C364" s="226" t="str">
        <f>L_CViec!AD291</f>
        <v>Hồ sơ</v>
      </c>
      <c r="D364" s="226">
        <f>L_CViec!AC291</f>
        <v>1</v>
      </c>
      <c r="E364" s="226" t="str">
        <f>L_CViec!AE291</f>
        <v>1KS2</v>
      </c>
      <c r="F364" s="226" t="str">
        <f>L_CViec!AF291</f>
        <v>1-3</v>
      </c>
      <c r="G364" s="226">
        <f>L_CViec!AG291</f>
        <v>0.15</v>
      </c>
      <c r="H364" s="283">
        <f>L_CViec!AH291</f>
        <v>0.15</v>
      </c>
      <c r="I364" s="283">
        <f>L_CViec!AI291</f>
        <v>0.19500000000000001</v>
      </c>
      <c r="J364" s="718">
        <f>L_CViec!AJ291</f>
        <v>320867.25</v>
      </c>
      <c r="K364" s="127">
        <f t="shared" si="61"/>
        <v>48130.087500000001</v>
      </c>
      <c r="L364" s="127">
        <f t="shared" si="61"/>
        <v>48130.087500000001</v>
      </c>
      <c r="M364" s="608">
        <f>I364*$J364</f>
        <v>62569.113750000004</v>
      </c>
      <c r="N364" s="718">
        <f>$D364*G364*L_CBac!$J$68</f>
        <v>1459.6153846153845</v>
      </c>
      <c r="O364" s="718">
        <f>$D364*H364*L_CBac!$J$68</f>
        <v>1459.6153846153845</v>
      </c>
      <c r="P364" s="718">
        <f>$D364*I364*L_CBac!$J$68</f>
        <v>1897.5</v>
      </c>
    </row>
    <row r="365" spans="1:16" s="305" customFormat="1" ht="26">
      <c r="A365" s="226" t="str">
        <f>L_CViec!A292</f>
        <v>11</v>
      </c>
      <c r="B365" s="225" t="str">
        <f>L_CViec!B292</f>
        <v>Nhập nội dung của cấp xã,phường, vào tệp (File) dữ liệu hồ sơ số</v>
      </c>
      <c r="C365" s="226" t="str">
        <f>L_CViec!AD292</f>
        <v>Thửa</v>
      </c>
      <c r="D365" s="226">
        <f>L_CViec!AC292</f>
        <v>1</v>
      </c>
      <c r="E365" s="226" t="str">
        <f>L_CViec!AE292</f>
        <v>1KS3</v>
      </c>
      <c r="F365" s="226" t="str">
        <f>L_CViec!AF292</f>
        <v>1-3</v>
      </c>
      <c r="G365" s="226">
        <f>L_CViec!AG292</f>
        <v>6.0000000000000001E-3</v>
      </c>
      <c r="H365" s="283">
        <f>L_CViec!AH292</f>
        <v>6.0000000000000001E-3</v>
      </c>
      <c r="I365" s="283">
        <f>L_CViec!AI292</f>
        <v>6.0000000000000001E-3</v>
      </c>
      <c r="J365" s="718">
        <f>L_CViec!AJ292</f>
        <v>360525</v>
      </c>
      <c r="K365" s="127">
        <f t="shared" si="61"/>
        <v>2163.15</v>
      </c>
      <c r="L365" s="127">
        <f t="shared" si="61"/>
        <v>2163.15</v>
      </c>
      <c r="M365" s="608">
        <f t="shared" si="61"/>
        <v>2163.15</v>
      </c>
      <c r="N365" s="718">
        <f>$D365*G365*L_CBac!$J$68</f>
        <v>58.384615384615387</v>
      </c>
      <c r="O365" s="718">
        <f>$D365*H365*L_CBac!$J$68</f>
        <v>58.384615384615387</v>
      </c>
      <c r="P365" s="718">
        <f>$D365*I365*L_CBac!$J$68</f>
        <v>58.384615384615387</v>
      </c>
    </row>
    <row r="366" spans="1:16" s="305" customFormat="1" ht="26">
      <c r="A366" s="226" t="str">
        <f>L_CViec!A293</f>
        <v>12</v>
      </c>
      <c r="B366" s="225" t="str">
        <f>L_CViec!B293</f>
        <v>Trích lục bản đồ địa chính đối với nơi đã có bản đồ địa chính hoặc trích đo bản đồ địa chính</v>
      </c>
      <c r="C366" s="226">
        <f>L_CViec!AD293</f>
        <v>0</v>
      </c>
      <c r="D366" s="226">
        <f>L_CViec!AC293</f>
        <v>0</v>
      </c>
      <c r="E366" s="226">
        <f>L_CViec!AE293</f>
        <v>0</v>
      </c>
      <c r="F366" s="226">
        <f>L_CViec!AF293</f>
        <v>0</v>
      </c>
      <c r="G366" s="226">
        <f>L_CViec!AG293</f>
        <v>0</v>
      </c>
      <c r="H366" s="283">
        <f>L_CViec!AH293</f>
        <v>0</v>
      </c>
      <c r="I366" s="283">
        <f>L_CViec!AI293</f>
        <v>0</v>
      </c>
      <c r="J366" s="718">
        <f>L_CViec!AJ293</f>
        <v>0</v>
      </c>
      <c r="K366" s="127">
        <f t="shared" si="61"/>
        <v>0</v>
      </c>
      <c r="L366" s="127">
        <f t="shared" si="61"/>
        <v>0</v>
      </c>
      <c r="M366" s="127">
        <f t="shared" si="61"/>
        <v>0</v>
      </c>
      <c r="N366" s="718">
        <f>$D366*G366*L_CBac!$J$68</f>
        <v>0</v>
      </c>
      <c r="O366" s="718">
        <f>$D366*H366*L_CBac!$J$68</f>
        <v>0</v>
      </c>
      <c r="P366" s="718">
        <f>$D366*I366*L_CBac!$J$68</f>
        <v>0</v>
      </c>
    </row>
    <row r="367" spans="1:16" s="305" customFormat="1">
      <c r="A367" s="226" t="str">
        <f>L_CViec!A294</f>
        <v>12.1</v>
      </c>
      <c r="B367" s="225" t="str">
        <f>L_CViec!B294</f>
        <v>Trích lục trên bản đồ dạng số</v>
      </c>
      <c r="C367" s="226" t="str">
        <f>L_CViec!AD294</f>
        <v>Hồ sơ</v>
      </c>
      <c r="D367" s="226">
        <f>L_CViec!AC294</f>
        <v>1</v>
      </c>
      <c r="E367" s="226" t="str">
        <f>L_CViec!AE294</f>
        <v>1KS2</v>
      </c>
      <c r="F367" s="226" t="str">
        <f>L_CViec!AF294</f>
        <v>1-3</v>
      </c>
      <c r="G367" s="226">
        <f>L_CViec!AG294</f>
        <v>0.05</v>
      </c>
      <c r="H367" s="283">
        <f>L_CViec!AH294</f>
        <v>0</v>
      </c>
      <c r="I367" s="283">
        <f>L_CViec!AI294</f>
        <v>0.05</v>
      </c>
      <c r="J367" s="718">
        <f>L_CViec!AJ294</f>
        <v>320867.25</v>
      </c>
      <c r="K367" s="127">
        <f t="shared" si="61"/>
        <v>16043.362500000001</v>
      </c>
      <c r="L367" s="127">
        <f t="shared" si="61"/>
        <v>0</v>
      </c>
      <c r="M367" s="608">
        <f t="shared" si="61"/>
        <v>16043.362500000001</v>
      </c>
      <c r="N367" s="718">
        <f>$D367*G367*L_CBac!$J$68</f>
        <v>486.53846153846155</v>
      </c>
      <c r="O367" s="718">
        <f>$D367*H367*L_CBac!$J$68</f>
        <v>0</v>
      </c>
      <c r="P367" s="718">
        <f>$D367*I367*L_CBac!$J$68</f>
        <v>486.53846153846155</v>
      </c>
    </row>
    <row r="368" spans="1:16" s="305" customFormat="1">
      <c r="A368" s="226" t="str">
        <f>L_CViec!A295</f>
        <v>12.2</v>
      </c>
      <c r="B368" s="225" t="str">
        <f>L_CViec!B295</f>
        <v>Trích lục trên bản đồ dạng giấy</v>
      </c>
      <c r="C368" s="226" t="str">
        <f>L_CViec!AD295</f>
        <v>Hồ sơ</v>
      </c>
      <c r="D368" s="226">
        <f>L_CViec!AC295</f>
        <v>1</v>
      </c>
      <c r="E368" s="226" t="str">
        <f>L_CViec!AE295</f>
        <v>1KS2</v>
      </c>
      <c r="F368" s="226" t="str">
        <f>L_CViec!AF295</f>
        <v>1-3</v>
      </c>
      <c r="G368" s="226">
        <f>L_CViec!AG295</f>
        <v>0.1</v>
      </c>
      <c r="H368" s="283">
        <f>L_CViec!AH295</f>
        <v>0</v>
      </c>
      <c r="I368" s="283">
        <f>L_CViec!AI295</f>
        <v>0.1</v>
      </c>
      <c r="J368" s="718">
        <f>L_CViec!AJ295</f>
        <v>320867.25</v>
      </c>
      <c r="K368" s="127">
        <f t="shared" si="61"/>
        <v>32086.725000000002</v>
      </c>
      <c r="L368" s="127">
        <f t="shared" si="61"/>
        <v>0</v>
      </c>
      <c r="M368" s="127">
        <f t="shared" si="61"/>
        <v>32086.725000000002</v>
      </c>
      <c r="N368" s="718">
        <f>$D368*G368*L_CBac!$J$68</f>
        <v>973.07692307692309</v>
      </c>
      <c r="O368" s="718">
        <f>$D368*H368*L_CBac!$J$68</f>
        <v>0</v>
      </c>
      <c r="P368" s="718">
        <f>$D368*I368*L_CBac!$J$68</f>
        <v>973.07692307692309</v>
      </c>
    </row>
    <row r="369" spans="1:16" s="50" customFormat="1" ht="26">
      <c r="A369" s="226">
        <f>L_CViec!A296</f>
        <v>13</v>
      </c>
      <c r="B369" s="225" t="str">
        <f>L_CViec!B296</f>
        <v>Lập và gửi Phiếu chuyển thông tin để xác định nghĩa vụ tài chính về đất đai (nếu có)</v>
      </c>
      <c r="C369" s="226">
        <f>L_CViec!AD296</f>
        <v>0</v>
      </c>
      <c r="D369" s="226">
        <f>L_CViec!AC296</f>
        <v>0</v>
      </c>
      <c r="E369" s="226">
        <f>L_CViec!AE296</f>
        <v>0</v>
      </c>
      <c r="F369" s="226">
        <f>L_CViec!AF296</f>
        <v>0</v>
      </c>
      <c r="G369" s="226">
        <f>L_CViec!AG296</f>
        <v>0</v>
      </c>
      <c r="H369" s="283">
        <f>L_CViec!AH296</f>
        <v>0</v>
      </c>
      <c r="I369" s="283">
        <f>L_CViec!AI296</f>
        <v>0</v>
      </c>
      <c r="J369" s="718">
        <f>L_CViec!AJ296</f>
        <v>0</v>
      </c>
      <c r="K369" s="127">
        <f t="shared" si="61"/>
        <v>0</v>
      </c>
      <c r="L369" s="127">
        <f t="shared" si="61"/>
        <v>0</v>
      </c>
      <c r="M369" s="127">
        <f t="shared" si="61"/>
        <v>0</v>
      </c>
      <c r="N369" s="718">
        <f>$D369*G369*L_CBac!$J$68</f>
        <v>0</v>
      </c>
      <c r="O369" s="718">
        <f>$D369*H369*L_CBac!$J$68</f>
        <v>0</v>
      </c>
      <c r="P369" s="718">
        <f>$D369*I369*L_CBac!$J$68</f>
        <v>0</v>
      </c>
    </row>
    <row r="370" spans="1:16" s="50" customFormat="1">
      <c r="A370" s="226">
        <f>L_CViec!A297</f>
        <v>13.1</v>
      </c>
      <c r="B370" s="225" t="str">
        <f>L_CViec!B297</f>
        <v>Chuyển thông tin theo hình thức liên thông</v>
      </c>
      <c r="C370" s="226" t="str">
        <f>L_CViec!AD297</f>
        <v>Hồ sơ</v>
      </c>
      <c r="D370" s="226">
        <f>L_CViec!AC297</f>
        <v>1</v>
      </c>
      <c r="E370" s="226" t="str">
        <f>L_CViec!AE297</f>
        <v>1KS3</v>
      </c>
      <c r="F370" s="226" t="str">
        <f>L_CViec!AF297</f>
        <v>1-3</v>
      </c>
      <c r="G370" s="226">
        <f>L_CViec!AG297</f>
        <v>0.1</v>
      </c>
      <c r="H370" s="283">
        <f>L_CViec!AH297</f>
        <v>0.1</v>
      </c>
      <c r="I370" s="283">
        <f>L_CViec!AI297</f>
        <v>0.13</v>
      </c>
      <c r="J370" s="718">
        <f>L_CViec!AJ297</f>
        <v>360525</v>
      </c>
      <c r="K370" s="127">
        <f t="shared" si="61"/>
        <v>36052.5</v>
      </c>
      <c r="L370" s="127">
        <f t="shared" si="61"/>
        <v>36052.5</v>
      </c>
      <c r="M370" s="608">
        <f t="shared" si="61"/>
        <v>46868.25</v>
      </c>
      <c r="N370" s="718">
        <f>$D370*G370*L_CBac!$J$68</f>
        <v>973.07692307692309</v>
      </c>
      <c r="O370" s="718">
        <f>$D370*H370*L_CBac!$J$68</f>
        <v>973.07692307692309</v>
      </c>
      <c r="P370" s="718">
        <f>$D370*I370*L_CBac!$J$68</f>
        <v>1265</v>
      </c>
    </row>
    <row r="371" spans="1:16" s="66" customFormat="1">
      <c r="A371" s="226">
        <f>L_CViec!A298</f>
        <v>13.2</v>
      </c>
      <c r="B371" s="225" t="str">
        <f>L_CViec!B298</f>
        <v>Chuyển thông tin theo hình thức trực tiếp</v>
      </c>
      <c r="C371" s="226" t="str">
        <f>L_CViec!AD298</f>
        <v>Hồ sơ</v>
      </c>
      <c r="D371" s="226">
        <f>L_CViec!AC298</f>
        <v>1</v>
      </c>
      <c r="E371" s="226" t="str">
        <f>L_CViec!AE298</f>
        <v>1KS3</v>
      </c>
      <c r="F371" s="226" t="str">
        <f>L_CViec!AF298</f>
        <v>1-3</v>
      </c>
      <c r="G371" s="226">
        <f>L_CViec!AG298</f>
        <v>0.2</v>
      </c>
      <c r="H371" s="283">
        <f>L_CViec!AH298</f>
        <v>0.2</v>
      </c>
      <c r="I371" s="283">
        <f>L_CViec!AI298</f>
        <v>0.26</v>
      </c>
      <c r="J371" s="718">
        <f>L_CViec!AJ298</f>
        <v>360525</v>
      </c>
      <c r="K371" s="127">
        <f t="shared" si="61"/>
        <v>72105</v>
      </c>
      <c r="L371" s="127">
        <f t="shared" si="61"/>
        <v>72105</v>
      </c>
      <c r="M371" s="127">
        <f t="shared" si="61"/>
        <v>93736.5</v>
      </c>
      <c r="N371" s="718">
        <f>$D371*G371*L_CBac!$J$68</f>
        <v>1946.1538461538462</v>
      </c>
      <c r="O371" s="718">
        <f>$D371*H371*L_CBac!$J$68</f>
        <v>1946.1538461538462</v>
      </c>
      <c r="P371" s="718">
        <f>$D371*I371*L_CBac!$J$68</f>
        <v>2530</v>
      </c>
    </row>
    <row r="372" spans="1:16" s="66" customFormat="1" ht="26">
      <c r="A372" s="226">
        <f>L_CViec!A299</f>
        <v>14</v>
      </c>
      <c r="B372" s="225" t="str">
        <f>L_CViec!B299</f>
        <v>Nhận thông báo của cơ quan thuế về việc hoàn thành nghĩa vụ tài chính</v>
      </c>
      <c r="C372" s="226">
        <f>L_CViec!AD299</f>
        <v>0</v>
      </c>
      <c r="D372" s="226">
        <f>L_CViec!AC299</f>
        <v>0</v>
      </c>
      <c r="E372" s="226">
        <f>L_CViec!AE299</f>
        <v>0</v>
      </c>
      <c r="F372" s="226">
        <f>L_CViec!AF299</f>
        <v>0</v>
      </c>
      <c r="G372" s="226">
        <f>L_CViec!AG299</f>
        <v>0</v>
      </c>
      <c r="H372" s="283">
        <f>L_CViec!AH299</f>
        <v>0</v>
      </c>
      <c r="I372" s="283">
        <f>L_CViec!AI299</f>
        <v>0</v>
      </c>
      <c r="J372" s="718">
        <f>L_CViec!AJ299</f>
        <v>0</v>
      </c>
      <c r="K372" s="127">
        <f t="shared" si="61"/>
        <v>0</v>
      </c>
      <c r="L372" s="127">
        <f t="shared" si="61"/>
        <v>0</v>
      </c>
      <c r="M372" s="127">
        <f t="shared" si="61"/>
        <v>0</v>
      </c>
      <c r="N372" s="718">
        <f>$D372*G372*L_CBac!$J$68</f>
        <v>0</v>
      </c>
      <c r="O372" s="718">
        <f>$D372*H372*L_CBac!$J$68</f>
        <v>0</v>
      </c>
      <c r="P372" s="718">
        <f>$D372*I372*L_CBac!$J$68</f>
        <v>0</v>
      </c>
    </row>
    <row r="373" spans="1:16" s="50" customFormat="1">
      <c r="A373" s="226">
        <f>L_CViec!A300</f>
        <v>14.1</v>
      </c>
      <c r="B373" s="225" t="str">
        <f>L_CViec!B300</f>
        <v>Chuyển thông tin theo hình thức liên thông</v>
      </c>
      <c r="C373" s="226" t="str">
        <f>L_CViec!AD300</f>
        <v>Hồ sơ</v>
      </c>
      <c r="D373" s="226">
        <f>L_CViec!AC300</f>
        <v>1</v>
      </c>
      <c r="E373" s="226" t="str">
        <f>L_CViec!AE300</f>
        <v>1KS2</v>
      </c>
      <c r="F373" s="226" t="str">
        <f>L_CViec!AF300</f>
        <v>1-3</v>
      </c>
      <c r="G373" s="226">
        <f>L_CViec!AG300</f>
        <v>0.04</v>
      </c>
      <c r="H373" s="283">
        <f>L_CViec!AH300</f>
        <v>0.04</v>
      </c>
      <c r="I373" s="283">
        <f>L_CViec!AI300</f>
        <v>0.04</v>
      </c>
      <c r="J373" s="718">
        <f>L_CViec!AJ300</f>
        <v>320867.25</v>
      </c>
      <c r="K373" s="127">
        <f t="shared" si="61"/>
        <v>12834.69</v>
      </c>
      <c r="L373" s="127">
        <f t="shared" si="61"/>
        <v>12834.69</v>
      </c>
      <c r="M373" s="608">
        <f t="shared" si="61"/>
        <v>12834.69</v>
      </c>
      <c r="N373" s="718">
        <f>$D373*G373*L_CBac!$J$68</f>
        <v>389.23076923076923</v>
      </c>
      <c r="O373" s="718">
        <f>$D373*H373*L_CBac!$J$68</f>
        <v>389.23076923076923</v>
      </c>
      <c r="P373" s="718">
        <f>$D373*I373*L_CBac!$J$68</f>
        <v>389.23076923076923</v>
      </c>
    </row>
    <row r="374" spans="1:16" s="50" customFormat="1">
      <c r="A374" s="226">
        <f>L_CViec!A301</f>
        <v>14.2</v>
      </c>
      <c r="B374" s="225" t="str">
        <f>L_CViec!B301</f>
        <v>Chuyển thông tin theo hình thức trực tiếp</v>
      </c>
      <c r="C374" s="226" t="str">
        <f>L_CViec!AD301</f>
        <v>Hồ sơ</v>
      </c>
      <c r="D374" s="226">
        <f>L_CViec!AC301</f>
        <v>1</v>
      </c>
      <c r="E374" s="226" t="str">
        <f>L_CViec!AE301</f>
        <v>1KS2</v>
      </c>
      <c r="F374" s="226" t="str">
        <f>L_CViec!AF301</f>
        <v>1-3</v>
      </c>
      <c r="G374" s="226">
        <f>L_CViec!AG301</f>
        <v>0.03</v>
      </c>
      <c r="H374" s="283">
        <f>L_CViec!AH301</f>
        <v>0.03</v>
      </c>
      <c r="I374" s="283">
        <f>L_CViec!AI301</f>
        <v>0.03</v>
      </c>
      <c r="J374" s="718">
        <f>L_CViec!AJ301</f>
        <v>320867.25</v>
      </c>
      <c r="K374" s="127">
        <f t="shared" si="61"/>
        <v>9626.0174999999999</v>
      </c>
      <c r="L374" s="127">
        <f t="shared" si="61"/>
        <v>9626.0174999999999</v>
      </c>
      <c r="M374" s="127">
        <f t="shared" si="61"/>
        <v>9626.0174999999999</v>
      </c>
      <c r="N374" s="718">
        <f>$D374*G374*L_CBac!$J$68</f>
        <v>291.92307692307691</v>
      </c>
      <c r="O374" s="718">
        <f>$D374*H374*L_CBac!$J$68</f>
        <v>291.92307692307691</v>
      </c>
      <c r="P374" s="718">
        <f>$D374*I374*L_CBac!$J$68</f>
        <v>291.92307692307691</v>
      </c>
    </row>
    <row r="375" spans="1:16" s="50" customFormat="1" ht="26">
      <c r="A375" s="226" t="str">
        <f>L_CViec!A302</f>
        <v>15</v>
      </c>
      <c r="B375" s="225" t="str">
        <f>L_CViec!B302</f>
        <v>Nhập thông tin thửa đất, tài sản gắn liền với đất, đăng ký vào hồ sơ địa chính</v>
      </c>
      <c r="C375" s="226" t="str">
        <f>L_CViec!AD302</f>
        <v>Thửa</v>
      </c>
      <c r="D375" s="226">
        <f>L_CViec!AC302</f>
        <v>1</v>
      </c>
      <c r="E375" s="226" t="str">
        <f>L_CViec!AE302</f>
        <v>1KS3</v>
      </c>
      <c r="F375" s="226" t="str">
        <f>L_CViec!AF302</f>
        <v>1-3</v>
      </c>
      <c r="G375" s="226">
        <f>L_CViec!AG302</f>
        <v>0.107</v>
      </c>
      <c r="H375" s="283">
        <f>L_CViec!AH302</f>
        <v>3.3000000000000002E-2</v>
      </c>
      <c r="I375" s="283">
        <f>L_CViec!AI302</f>
        <v>0.16700000000000001</v>
      </c>
      <c r="J375" s="718">
        <f>L_CViec!AJ302</f>
        <v>360525</v>
      </c>
      <c r="K375" s="127">
        <f t="shared" si="61"/>
        <v>38576.174999999996</v>
      </c>
      <c r="L375" s="127">
        <f t="shared" si="61"/>
        <v>11897.325000000001</v>
      </c>
      <c r="M375" s="608">
        <f t="shared" si="61"/>
        <v>60207.675000000003</v>
      </c>
      <c r="N375" s="718">
        <f>$D375*G375*L_CBac!$J$68</f>
        <v>1041.1923076923076</v>
      </c>
      <c r="O375" s="718">
        <f>$D375*H375*L_CBac!$J$68</f>
        <v>321.11538461538464</v>
      </c>
      <c r="P375" s="718">
        <f>$D375*I375*L_CBac!$J$68</f>
        <v>1625.0384615384617</v>
      </c>
    </row>
    <row r="376" spans="1:16" s="66" customFormat="1">
      <c r="A376" s="226" t="str">
        <f>L_CViec!A303</f>
        <v>16</v>
      </c>
      <c r="B376" s="225" t="str">
        <f>L_CViec!B303</f>
        <v>In GCN</v>
      </c>
      <c r="C376" s="226">
        <f>L_CViec!AD303</f>
        <v>0</v>
      </c>
      <c r="D376" s="226">
        <f>L_CViec!AC303</f>
        <v>0</v>
      </c>
      <c r="E376" s="226">
        <f>L_CViec!AE303</f>
        <v>0</v>
      </c>
      <c r="F376" s="226">
        <f>L_CViec!AF303</f>
        <v>0</v>
      </c>
      <c r="G376" s="226">
        <f>L_CViec!AG303</f>
        <v>0</v>
      </c>
      <c r="H376" s="283">
        <f>L_CViec!AH303</f>
        <v>0</v>
      </c>
      <c r="I376" s="283">
        <f>L_CViec!AI303</f>
        <v>0</v>
      </c>
      <c r="J376" s="718">
        <f>L_CViec!AJ303</f>
        <v>0</v>
      </c>
      <c r="K376" s="127">
        <f t="shared" si="61"/>
        <v>0</v>
      </c>
      <c r="L376" s="127">
        <f t="shared" si="61"/>
        <v>0</v>
      </c>
      <c r="M376" s="127">
        <f t="shared" si="61"/>
        <v>0</v>
      </c>
      <c r="N376" s="718">
        <f>$D376*G376*L_CBac!$J$68</f>
        <v>0</v>
      </c>
      <c r="O376" s="718">
        <f>$D376*H376*L_CBac!$J$68</f>
        <v>0</v>
      </c>
      <c r="P376" s="718">
        <f>$D376*I376*L_CBac!$J$68</f>
        <v>0</v>
      </c>
    </row>
    <row r="377" spans="1:16" s="66" customFormat="1">
      <c r="A377" s="226" t="str">
        <f>L_CViec!A304</f>
        <v>16.1</v>
      </c>
      <c r="B377" s="225" t="str">
        <f>L_CViec!B304</f>
        <v>Trực tiếp từ cơ sở dữ liệu dạng số</v>
      </c>
      <c r="C377" s="226" t="str">
        <f>L_CViec!AD304</f>
        <v>GCN</v>
      </c>
      <c r="D377" s="226">
        <f>L_CViec!AC304</f>
        <v>1</v>
      </c>
      <c r="E377" s="226" t="str">
        <f>L_CViec!AE304</f>
        <v>1KS2</v>
      </c>
      <c r="F377" s="226" t="str">
        <f>L_CViec!AF304</f>
        <v>1-3</v>
      </c>
      <c r="G377" s="226">
        <f>L_CViec!AG304</f>
        <v>0.1</v>
      </c>
      <c r="H377" s="283">
        <f>L_CViec!AH304</f>
        <v>0.1</v>
      </c>
      <c r="I377" s="283">
        <f>L_CViec!AI304</f>
        <v>0.1</v>
      </c>
      <c r="J377" s="718">
        <f>L_CViec!AJ304</f>
        <v>320867.25</v>
      </c>
      <c r="K377" s="127">
        <f t="shared" si="61"/>
        <v>32086.725000000002</v>
      </c>
      <c r="L377" s="127">
        <f t="shared" si="61"/>
        <v>32086.725000000002</v>
      </c>
      <c r="M377" s="608">
        <f t="shared" si="61"/>
        <v>32086.725000000002</v>
      </c>
      <c r="N377" s="718">
        <f>$D377*G377*L_CBac!$J$68</f>
        <v>973.07692307692309</v>
      </c>
      <c r="O377" s="718">
        <f>$D377*H377*L_CBac!$J$68</f>
        <v>973.07692307692309</v>
      </c>
      <c r="P377" s="718">
        <f>$D377*I377*L_CBac!$J$68</f>
        <v>973.07692307692309</v>
      </c>
    </row>
    <row r="378" spans="1:16" s="66" customFormat="1">
      <c r="A378" s="226" t="str">
        <f>L_CViec!A305</f>
        <v>16.2</v>
      </c>
      <c r="B378" s="225" t="str">
        <f>L_CViec!B305</f>
        <v>Đối với những nơi chưa có bản đồ dạng số</v>
      </c>
      <c r="C378" s="226" t="str">
        <f>L_CViec!AD305</f>
        <v>GCN</v>
      </c>
      <c r="D378" s="226">
        <f>L_CViec!AC305</f>
        <v>1</v>
      </c>
      <c r="E378" s="226" t="str">
        <f>L_CViec!AE305</f>
        <v>1KS2</v>
      </c>
      <c r="F378" s="226" t="str">
        <f>L_CViec!AF305</f>
        <v>1-3</v>
      </c>
      <c r="G378" s="226">
        <f>L_CViec!AG305</f>
        <v>0.15</v>
      </c>
      <c r="H378" s="283">
        <f>L_CViec!AH305</f>
        <v>0.2</v>
      </c>
      <c r="I378" s="283">
        <f>L_CViec!AI305</f>
        <v>0.2</v>
      </c>
      <c r="J378" s="718">
        <f>L_CViec!AJ305</f>
        <v>320867.25</v>
      </c>
      <c r="K378" s="127">
        <f t="shared" si="61"/>
        <v>48130.087500000001</v>
      </c>
      <c r="L378" s="127">
        <f t="shared" si="61"/>
        <v>64173.450000000004</v>
      </c>
      <c r="M378" s="127">
        <f t="shared" si="61"/>
        <v>64173.450000000004</v>
      </c>
      <c r="N378" s="718">
        <f>$D378*G378*L_CBac!$J$68</f>
        <v>1459.6153846153845</v>
      </c>
      <c r="O378" s="718">
        <f>$D378*H378*L_CBac!$J$68</f>
        <v>1946.1538461538462</v>
      </c>
      <c r="P378" s="718">
        <f>$D378*I378*L_CBac!$J$68</f>
        <v>1946.1538461538462</v>
      </c>
    </row>
    <row r="379" spans="1:16" s="66" customFormat="1" ht="26">
      <c r="A379" s="226" t="str">
        <f>L_CViec!A306</f>
        <v>17</v>
      </c>
      <c r="B379" s="225" t="str">
        <f>L_CViec!B306</f>
        <v>Trích sao số liệu địa chính, quyết định hủy GCN bị mất, cấp đổi, cấp lại GCN, lập sổ theo dõi hồ sơ</v>
      </c>
      <c r="C379" s="226" t="str">
        <f>L_CViec!AD306</f>
        <v>Hồ sơ</v>
      </c>
      <c r="D379" s="226">
        <f>L_CViec!AC306</f>
        <v>1</v>
      </c>
      <c r="E379" s="226" t="str">
        <f>L_CViec!AE306</f>
        <v>1KS3</v>
      </c>
      <c r="F379" s="226" t="str">
        <f>L_CViec!AF306</f>
        <v>1-3</v>
      </c>
      <c r="G379" s="226">
        <f>L_CViec!AG306</f>
        <v>0.4</v>
      </c>
      <c r="H379" s="283">
        <f>L_CViec!AH306</f>
        <v>0.4</v>
      </c>
      <c r="I379" s="283">
        <f>L_CViec!AI306</f>
        <v>0.52</v>
      </c>
      <c r="J379" s="718">
        <f>L_CViec!AJ306</f>
        <v>360525</v>
      </c>
      <c r="K379" s="127">
        <f t="shared" si="61"/>
        <v>144210</v>
      </c>
      <c r="L379" s="127">
        <f t="shared" si="61"/>
        <v>144210</v>
      </c>
      <c r="M379" s="608">
        <f t="shared" si="61"/>
        <v>187473</v>
      </c>
      <c r="N379" s="718">
        <f>$D379*G379*L_CBac!$J$68</f>
        <v>3892.3076923076924</v>
      </c>
      <c r="O379" s="718">
        <f>$D379*H379*L_CBac!$J$68</f>
        <v>3892.3076923076924</v>
      </c>
      <c r="P379" s="718">
        <f>$D379*I379*L_CBac!$J$68</f>
        <v>5060</v>
      </c>
    </row>
    <row r="380" spans="1:16" s="66" customFormat="1" ht="26">
      <c r="A380" s="226" t="str">
        <f>L_CViec!A307</f>
        <v>18</v>
      </c>
      <c r="B380" s="225" t="str">
        <f>L_CViec!B307</f>
        <v>Cập nhật chỉnh lý HSĐC, thu phí, lệ phí, nộp kho bạc; gửi thông báo biến động cho cấp xã,phường,</v>
      </c>
      <c r="C380" s="226" t="str">
        <f>L_CViec!AD307</f>
        <v>Hồ sơ</v>
      </c>
      <c r="D380" s="226">
        <f>L_CViec!AC307</f>
        <v>1</v>
      </c>
      <c r="E380" s="226" t="str">
        <f>L_CViec!AE307</f>
        <v>1KS2</v>
      </c>
      <c r="F380" s="226" t="str">
        <f>L_CViec!AF307</f>
        <v>1-3</v>
      </c>
      <c r="G380" s="226">
        <f>L_CViec!AG307</f>
        <v>0.37</v>
      </c>
      <c r="H380" s="283">
        <f>L_CViec!AH307</f>
        <v>0.37</v>
      </c>
      <c r="I380" s="283">
        <f>L_CViec!AI307</f>
        <v>0.44400000000000001</v>
      </c>
      <c r="J380" s="718">
        <f>L_CViec!AJ307</f>
        <v>320867.25</v>
      </c>
      <c r="K380" s="127">
        <f t="shared" si="61"/>
        <v>118720.88249999999</v>
      </c>
      <c r="L380" s="127">
        <f t="shared" si="61"/>
        <v>118720.88249999999</v>
      </c>
      <c r="M380" s="608">
        <f t="shared" si="61"/>
        <v>142465.05900000001</v>
      </c>
      <c r="N380" s="718">
        <f>$D380*G380*L_CBac!$J$68</f>
        <v>3600.3846153846152</v>
      </c>
      <c r="O380" s="718">
        <f>$D380*H380*L_CBac!$J$68</f>
        <v>3600.3846153846152</v>
      </c>
      <c r="P380" s="718">
        <f>$D380*I380*L_CBac!$J$68</f>
        <v>4320.4615384615381</v>
      </c>
    </row>
    <row r="381" spans="1:16" s="50" customFormat="1" ht="26">
      <c r="A381" s="226" t="str">
        <f>L_CViec!A308</f>
        <v>19</v>
      </c>
      <c r="B381" s="225" t="str">
        <f>L_CViec!B308</f>
        <v>Quét giấy tờ pháp lý về quyền sử dụng đất, quyền sở hữu nhà ở và tài sản khác gắn liền với đất</v>
      </c>
      <c r="C381" s="226">
        <f>L_CViec!AD308</f>
        <v>0</v>
      </c>
      <c r="D381" s="226">
        <f>L_CViec!AC308</f>
        <v>0</v>
      </c>
      <c r="E381" s="226">
        <f>L_CViec!AE308</f>
        <v>0</v>
      </c>
      <c r="F381" s="226">
        <f>L_CViec!AF308</f>
        <v>0</v>
      </c>
      <c r="G381" s="226">
        <f>L_CViec!AG308</f>
        <v>0</v>
      </c>
      <c r="H381" s="283">
        <f>L_CViec!AH308</f>
        <v>0</v>
      </c>
      <c r="I381" s="283">
        <f>L_CViec!AI308</f>
        <v>0</v>
      </c>
      <c r="J381" s="718">
        <f>L_CViec!AJ308</f>
        <v>0</v>
      </c>
      <c r="K381" s="127">
        <f t="shared" si="61"/>
        <v>0</v>
      </c>
      <c r="L381" s="127">
        <f t="shared" si="61"/>
        <v>0</v>
      </c>
      <c r="M381" s="127">
        <f t="shared" si="61"/>
        <v>0</v>
      </c>
      <c r="N381" s="718">
        <f>$D381*G381*L_CBac!$J$68</f>
        <v>0</v>
      </c>
      <c r="O381" s="718">
        <f>$D381*H381*L_CBac!$J$68</f>
        <v>0</v>
      </c>
      <c r="P381" s="718">
        <f>$D381*I381*L_CBac!$J$68</f>
        <v>0</v>
      </c>
    </row>
    <row r="382" spans="1:16" s="50" customFormat="1">
      <c r="A382" s="226" t="str">
        <f>L_CViec!A309</f>
        <v>19.1</v>
      </c>
      <c r="B382" s="225" t="str">
        <f>L_CViec!B309</f>
        <v>Quét trang A3</v>
      </c>
      <c r="C382" s="226" t="str">
        <f>L_CViec!AD309</f>
        <v>Trang</v>
      </c>
      <c r="D382" s="226">
        <f>L_CViec!AC309</f>
        <v>1</v>
      </c>
      <c r="E382" s="226" t="str">
        <f>L_CViec!AE309</f>
        <v>1KS1</v>
      </c>
      <c r="F382" s="226" t="str">
        <f>L_CViec!AF309</f>
        <v>1-3</v>
      </c>
      <c r="G382" s="226">
        <f>L_CViec!AG309</f>
        <v>1.6E-2</v>
      </c>
      <c r="H382" s="283">
        <f>L_CViec!AH309</f>
        <v>1.6E-2</v>
      </c>
      <c r="I382" s="283">
        <f>L_CViec!AI309</f>
        <v>1.6E-2</v>
      </c>
      <c r="J382" s="718">
        <f>L_CViec!AJ309</f>
        <v>281209.5</v>
      </c>
      <c r="K382" s="127">
        <f t="shared" si="61"/>
        <v>4499.3519999999999</v>
      </c>
      <c r="L382" s="127">
        <f t="shared" si="61"/>
        <v>4499.3519999999999</v>
      </c>
      <c r="M382" s="127">
        <f t="shared" si="61"/>
        <v>4499.3519999999999</v>
      </c>
      <c r="N382" s="718">
        <f>$D382*G382*L_CBac!$J$68</f>
        <v>155.69230769230768</v>
      </c>
      <c r="O382" s="718">
        <f>$D382*H382*L_CBac!$J$68</f>
        <v>155.69230769230768</v>
      </c>
      <c r="P382" s="718">
        <f>$D382*I382*L_CBac!$J$68</f>
        <v>155.69230769230768</v>
      </c>
    </row>
    <row r="383" spans="1:16" s="231" customFormat="1" ht="14">
      <c r="A383" s="226" t="str">
        <f>L_CViec!A310</f>
        <v>19.2</v>
      </c>
      <c r="B383" s="225" t="str">
        <f>L_CViec!B310</f>
        <v>Quét trang A4</v>
      </c>
      <c r="C383" s="226" t="str">
        <f>L_CViec!AD310</f>
        <v>Trang</v>
      </c>
      <c r="D383" s="226">
        <f>L_CViec!AC310</f>
        <v>1</v>
      </c>
      <c r="E383" s="226" t="str">
        <f>L_CViec!AE310</f>
        <v>1KS1</v>
      </c>
      <c r="F383" s="226" t="str">
        <f>L_CViec!AF310</f>
        <v>1-3</v>
      </c>
      <c r="G383" s="226">
        <f>L_CViec!AG310</f>
        <v>8.0000000000000002E-3</v>
      </c>
      <c r="H383" s="283">
        <f>L_CViec!AH310</f>
        <v>8.0000000000000002E-3</v>
      </c>
      <c r="I383" s="283">
        <f>L_CViec!AI310</f>
        <v>8.0000000000000002E-3</v>
      </c>
      <c r="J383" s="718">
        <f>L_CViec!AJ310</f>
        <v>281209.5</v>
      </c>
      <c r="K383" s="127">
        <f t="shared" si="61"/>
        <v>2249.6759999999999</v>
      </c>
      <c r="L383" s="127">
        <f t="shared" si="61"/>
        <v>2249.6759999999999</v>
      </c>
      <c r="M383" s="127">
        <f t="shared" si="61"/>
        <v>2249.6759999999999</v>
      </c>
      <c r="N383" s="718">
        <f>$D383*G383*L_CBac!$J$68</f>
        <v>77.84615384615384</v>
      </c>
      <c r="O383" s="718">
        <f>$D383*H383*L_CBac!$J$68</f>
        <v>77.84615384615384</v>
      </c>
      <c r="P383" s="718">
        <f>$D383*I383*L_CBac!$J$68</f>
        <v>77.84615384615384</v>
      </c>
    </row>
    <row r="384" spans="1:16" s="231" customFormat="1" ht="26">
      <c r="A384" s="226" t="str">
        <f>L_CViec!A311</f>
        <v>20</v>
      </c>
      <c r="B384" s="225" t="str">
        <f>L_CViec!B311</f>
        <v>Xử lý các tệp tin quét thành tệp (File) hồ sơ quét dạng số của thửa đất, lưu trữ dưới khuôn dạng tệp tin PDF</v>
      </c>
      <c r="C384" s="226" t="str">
        <f>L_CViec!AD311</f>
        <v>Trang</v>
      </c>
      <c r="D384" s="226">
        <f>L_CViec!AC311</f>
        <v>1</v>
      </c>
      <c r="E384" s="226" t="str">
        <f>L_CViec!AE311</f>
        <v>1KS1</v>
      </c>
      <c r="F384" s="226" t="str">
        <f>L_CViec!AF311</f>
        <v>1-3</v>
      </c>
      <c r="G384" s="226">
        <f>L_CViec!AG311</f>
        <v>4.0000000000000001E-3</v>
      </c>
      <c r="H384" s="283">
        <f>L_CViec!AH311</f>
        <v>4.0000000000000001E-3</v>
      </c>
      <c r="I384" s="283">
        <f>L_CViec!AI311</f>
        <v>4.0000000000000001E-3</v>
      </c>
      <c r="J384" s="718">
        <f>L_CViec!AJ311</f>
        <v>281209.5</v>
      </c>
      <c r="K384" s="127">
        <f t="shared" si="61"/>
        <v>1124.838</v>
      </c>
      <c r="L384" s="127">
        <f t="shared" si="61"/>
        <v>1124.838</v>
      </c>
      <c r="M384" s="127">
        <f t="shared" si="61"/>
        <v>1124.838</v>
      </c>
      <c r="N384" s="718">
        <f>$D384*G384*L_CBac!$J$68</f>
        <v>38.92307692307692</v>
      </c>
      <c r="O384" s="718">
        <f>$D384*H384*L_CBac!$J$68</f>
        <v>38.92307692307692</v>
      </c>
      <c r="P384" s="718">
        <f>$D384*I384*L_CBac!$J$68</f>
        <v>38.92307692307692</v>
      </c>
    </row>
    <row r="385" spans="1:25" s="231" customFormat="1" ht="26">
      <c r="A385" s="226" t="str">
        <f>L_CViec!A312</f>
        <v>21</v>
      </c>
      <c r="B385" s="225" t="str">
        <f>L_CViec!B312</f>
        <v>Tạo liên kết hồ sơ quét dạng số với thửa đất trong cơ sở dữ liệu</v>
      </c>
      <c r="C385" s="226" t="str">
        <f>L_CViec!AD312</f>
        <v>Thửa</v>
      </c>
      <c r="D385" s="226">
        <f>L_CViec!AC312</f>
        <v>1</v>
      </c>
      <c r="E385" s="226" t="str">
        <f>L_CViec!AE312</f>
        <v>1KS1</v>
      </c>
      <c r="F385" s="226" t="str">
        <f>L_CViec!AF312</f>
        <v>1-3</v>
      </c>
      <c r="G385" s="226">
        <f>L_CViec!AG312</f>
        <v>0.01</v>
      </c>
      <c r="H385" s="283">
        <f>L_CViec!AH312</f>
        <v>0.01</v>
      </c>
      <c r="I385" s="283">
        <f>L_CViec!AI312</f>
        <v>0.01</v>
      </c>
      <c r="J385" s="718">
        <f>L_CViec!AJ312</f>
        <v>281209.5</v>
      </c>
      <c r="K385" s="127">
        <f t="shared" si="61"/>
        <v>2812.0950000000003</v>
      </c>
      <c r="L385" s="127">
        <f t="shared" si="61"/>
        <v>2812.0950000000003</v>
      </c>
      <c r="M385" s="127">
        <f t="shared" si="61"/>
        <v>2812.0950000000003</v>
      </c>
      <c r="N385" s="718">
        <f>$D385*G385*L_CBac!$J$68</f>
        <v>97.307692307692307</v>
      </c>
      <c r="O385" s="718">
        <f>$D385*H385*L_CBac!$J$68</f>
        <v>97.307692307692307</v>
      </c>
      <c r="P385" s="718">
        <f>$D385*I385*L_CBac!$J$68</f>
        <v>97.307692307692307</v>
      </c>
    </row>
    <row r="386" spans="1:25" s="231" customFormat="1" ht="65">
      <c r="A386" s="226" t="str">
        <f>L_CViec!A313</f>
        <v>22</v>
      </c>
      <c r="B386" s="225" t="str">
        <f>L_CViec!B313</f>
        <v>Thông báo danh sách các trường hợp làm thủ tục cấp đổi, cấp lại Giấy chứng nhận cho bên nhận thế chấp quyền sử dụng đất, tài sản gắn liền với đất; xác nhận việc đăng ký thế chấp vào GCN sau khi được cơ quan có thẩm quyền ký cấp đổi, cấp lại</v>
      </c>
      <c r="C386" s="226" t="str">
        <f>L_CViec!AD313</f>
        <v>Hồ sơ</v>
      </c>
      <c r="D386" s="226">
        <f>L_CViec!AC313</f>
        <v>1</v>
      </c>
      <c r="E386" s="226" t="str">
        <f>L_CViec!AE313</f>
        <v>1KS2</v>
      </c>
      <c r="F386" s="226" t="str">
        <f>L_CViec!AF313</f>
        <v>1-3</v>
      </c>
      <c r="G386" s="226">
        <f>L_CViec!AG313</f>
        <v>0.05</v>
      </c>
      <c r="H386" s="283">
        <f>L_CViec!AH313</f>
        <v>0.05</v>
      </c>
      <c r="I386" s="283">
        <f>L_CViec!AI313</f>
        <v>6.5000000000000002E-2</v>
      </c>
      <c r="J386" s="718">
        <f>L_CViec!AJ313</f>
        <v>320867.25</v>
      </c>
      <c r="K386" s="127">
        <f t="shared" si="61"/>
        <v>16043.362500000001</v>
      </c>
      <c r="L386" s="127">
        <f t="shared" si="61"/>
        <v>16043.362500000001</v>
      </c>
      <c r="M386" s="608">
        <f t="shared" si="61"/>
        <v>20856.37125</v>
      </c>
      <c r="N386" s="718">
        <f>$D386*G386*L_CBac!$J$68</f>
        <v>486.53846153846155</v>
      </c>
      <c r="O386" s="718">
        <f>$D386*H386*L_CBac!$J$68</f>
        <v>486.53846153846155</v>
      </c>
      <c r="P386" s="718">
        <f>$D386*I386*L_CBac!$J$68</f>
        <v>632.5</v>
      </c>
    </row>
    <row r="387" spans="1:25" s="231" customFormat="1" ht="65">
      <c r="A387" s="226" t="str">
        <f>L_CViec!A314</f>
        <v>23</v>
      </c>
      <c r="B387" s="225" t="str">
        <f>L_CViec!B314</f>
        <v>Chuyển Giấy chứng nhận đến Bộ phận một cửa để trao cho người sử dụng đất hoặc chuyển Giấy chứng nhận cho người sử dụng đất thông qua dịch vụ bưu chính công ích hoặc Văn phòng đăng ký đất đai nhận lại GCN cũ đang thế chấp từ tổ chức tín dụng và trao GCN mới</v>
      </c>
      <c r="C387" s="226" t="str">
        <f>L_CViec!AD314</f>
        <v>Hồ sơ</v>
      </c>
      <c r="D387" s="226">
        <f>L_CViec!AC314</f>
        <v>1</v>
      </c>
      <c r="E387" s="226" t="str">
        <f>L_CViec!AE314</f>
        <v>1KS2</v>
      </c>
      <c r="F387" s="226" t="str">
        <f>L_CViec!AF314</f>
        <v>1-3</v>
      </c>
      <c r="G387" s="226">
        <f>L_CViec!AG314</f>
        <v>0.05</v>
      </c>
      <c r="H387" s="283">
        <f>L_CViec!AH314</f>
        <v>0.05</v>
      </c>
      <c r="I387" s="283">
        <f>L_CViec!AI314</f>
        <v>6.5000000000000002E-2</v>
      </c>
      <c r="J387" s="718">
        <f>L_CViec!AJ314</f>
        <v>320867.25</v>
      </c>
      <c r="K387" s="127">
        <f t="shared" si="61"/>
        <v>16043.362500000001</v>
      </c>
      <c r="L387" s="127">
        <f t="shared" si="61"/>
        <v>16043.362500000001</v>
      </c>
      <c r="M387" s="608">
        <f t="shared" si="61"/>
        <v>20856.37125</v>
      </c>
      <c r="N387" s="718">
        <f>$D387*G387*L_CBac!$J$68</f>
        <v>486.53846153846155</v>
      </c>
      <c r="O387" s="718">
        <f>$D387*H387*L_CBac!$J$68</f>
        <v>486.53846153846155</v>
      </c>
      <c r="P387" s="718">
        <f>$D387*I387*L_CBac!$J$68</f>
        <v>632.5</v>
      </c>
    </row>
    <row r="388" spans="1:25" s="50" customFormat="1" ht="26">
      <c r="A388" s="226" t="str">
        <f>L_CViec!A315</f>
        <v>24</v>
      </c>
      <c r="B388" s="225" t="str">
        <f>L_CViec!B315</f>
        <v>UBND xã, phường, đặc khu nhận thông báo biến động, chỉnh lý vào HSĐC</v>
      </c>
      <c r="C388" s="226" t="str">
        <f>L_CViec!AD315</f>
        <v>Hồ sơ</v>
      </c>
      <c r="D388" s="226">
        <f>L_CViec!AC315</f>
        <v>1</v>
      </c>
      <c r="E388" s="226" t="str">
        <f>L_CViec!AE315</f>
        <v>1KS2</v>
      </c>
      <c r="F388" s="226" t="str">
        <f>L_CViec!AF315</f>
        <v>1-3</v>
      </c>
      <c r="G388" s="226">
        <f>L_CViec!AG315</f>
        <v>0.02</v>
      </c>
      <c r="H388" s="283">
        <f>L_CViec!AH315</f>
        <v>0.02</v>
      </c>
      <c r="I388" s="283">
        <f>L_CViec!AI315</f>
        <v>2.5999999999999999E-2</v>
      </c>
      <c r="J388" s="718">
        <f>L_CViec!AJ315</f>
        <v>320867.25</v>
      </c>
      <c r="K388" s="127">
        <f t="shared" si="61"/>
        <v>6417.3450000000003</v>
      </c>
      <c r="L388" s="127">
        <f t="shared" si="61"/>
        <v>6417.3450000000003</v>
      </c>
      <c r="M388" s="608">
        <f t="shared" si="61"/>
        <v>8342.548499999999</v>
      </c>
      <c r="N388" s="718">
        <f>$D388*G388*L_CBac!$J$68</f>
        <v>194.61538461538461</v>
      </c>
      <c r="O388" s="718">
        <f>$D388*H388*L_CBac!$J$68</f>
        <v>194.61538461538461</v>
      </c>
      <c r="P388" s="718">
        <f>$D388*I388*L_CBac!$J$68</f>
        <v>252.99999999999997</v>
      </c>
    </row>
    <row r="389" spans="1:25" s="455" customFormat="1" ht="25.5" customHeight="1">
      <c r="A389" s="223" t="str">
        <f>L_CViec!A316</f>
        <v>V.2</v>
      </c>
      <c r="B389" s="408" t="str">
        <f>L_CViec!B316</f>
        <v>CÁC NỘI DUNG THỰC HIỆN TẠI ĐỊA BÀN CẤP TỈNH</v>
      </c>
      <c r="C389" s="226">
        <f>L_CViec!AD316</f>
        <v>0</v>
      </c>
      <c r="D389" s="226">
        <f>L_CViec!AC316</f>
        <v>0</v>
      </c>
      <c r="E389" s="226">
        <f>L_CViec!AE316</f>
        <v>0</v>
      </c>
      <c r="F389" s="226">
        <f>L_CViec!AF316</f>
        <v>0</v>
      </c>
      <c r="G389" s="226">
        <f>L_CViec!AG316</f>
        <v>0</v>
      </c>
      <c r="H389" s="283">
        <f>L_CViec!AH316</f>
        <v>0</v>
      </c>
      <c r="I389" s="283">
        <f>L_CViec!AI316</f>
        <v>0</v>
      </c>
      <c r="J389" s="718">
        <f>L_CViec!AJ316</f>
        <v>0</v>
      </c>
      <c r="K389" s="127">
        <f t="shared" ref="K389:M390" si="62">G389*$J389</f>
        <v>0</v>
      </c>
      <c r="L389" s="127">
        <f t="shared" si="62"/>
        <v>0</v>
      </c>
      <c r="M389" s="127">
        <f t="shared" si="62"/>
        <v>0</v>
      </c>
      <c r="N389" s="718">
        <f>$D389*G389*L_CBac!$J$68</f>
        <v>0</v>
      </c>
      <c r="O389" s="718">
        <f>$D389*H389*L_CBac!$J$68</f>
        <v>0</v>
      </c>
      <c r="P389" s="718">
        <f>$D389*I389*L_CBac!$J$68</f>
        <v>0</v>
      </c>
      <c r="Q389" s="50"/>
      <c r="R389" s="50"/>
      <c r="S389" s="50"/>
      <c r="T389" s="50"/>
      <c r="U389" s="50"/>
      <c r="V389" s="50"/>
      <c r="W389" s="50"/>
      <c r="X389" s="50"/>
      <c r="Y389" s="50"/>
    </row>
    <row r="390" spans="1:25" s="50" customFormat="1" ht="26">
      <c r="A390" s="226">
        <f>L_CViec!A317</f>
        <v>0</v>
      </c>
      <c r="B390" s="225" t="str">
        <f>L_CViec!B317</f>
        <v>Tỉnh nhận thông báo biến động, chỉnh lý vào HSĐC, lưu kho hồ sơ</v>
      </c>
      <c r="C390" s="226" t="str">
        <f>L_CViec!AD317</f>
        <v>Hồ sơ</v>
      </c>
      <c r="D390" s="226">
        <f>L_CViec!AC317</f>
        <v>1</v>
      </c>
      <c r="E390" s="226" t="str">
        <f>L_CViec!AE317</f>
        <v>1KS2</v>
      </c>
      <c r="F390" s="226" t="str">
        <f>L_CViec!AF317</f>
        <v>1-3</v>
      </c>
      <c r="G390" s="226">
        <f>L_CViec!AG317</f>
        <v>0.02</v>
      </c>
      <c r="H390" s="283">
        <f>L_CViec!AH317</f>
        <v>0.02</v>
      </c>
      <c r="I390" s="283">
        <f>L_CViec!AI317</f>
        <v>2.5999999999999999E-2</v>
      </c>
      <c r="J390" s="718">
        <f>L_CViec!AJ317</f>
        <v>320867.25</v>
      </c>
      <c r="K390" s="127">
        <f t="shared" si="62"/>
        <v>6417.3450000000003</v>
      </c>
      <c r="L390" s="127">
        <f t="shared" si="62"/>
        <v>6417.3450000000003</v>
      </c>
      <c r="M390" s="127">
        <f t="shared" si="62"/>
        <v>8342.548499999999</v>
      </c>
      <c r="N390" s="718">
        <f>$D390*G390*L_CBac!$J$68</f>
        <v>194.61538461538461</v>
      </c>
      <c r="O390" s="718">
        <f>$D390*H390*L_CBac!$J$68</f>
        <v>194.61538461538461</v>
      </c>
      <c r="P390" s="718">
        <f>$D390*I390*L_CBac!$J$68</f>
        <v>252.99999999999997</v>
      </c>
    </row>
    <row r="391" spans="1:25" s="50" customFormat="1">
      <c r="A391" s="223" t="str">
        <f>L_CViec!A318</f>
        <v>V.3</v>
      </c>
      <c r="B391" s="408" t="str">
        <f>L_CViec!B318</f>
        <v>GHI CHÚ</v>
      </c>
      <c r="C391" s="408">
        <f>L_CViec!AD318</f>
        <v>0</v>
      </c>
      <c r="D391" s="408"/>
      <c r="E391" s="408">
        <f>L_CViec!AE318</f>
        <v>0</v>
      </c>
      <c r="F391" s="408">
        <f>L_CViec!AF318</f>
        <v>0</v>
      </c>
      <c r="G391" s="408">
        <f>L_CViec!AG318</f>
        <v>0</v>
      </c>
      <c r="H391" s="475">
        <f>L_CViec!AH318</f>
        <v>0</v>
      </c>
      <c r="I391" s="475">
        <f>L_CViec!AI318</f>
        <v>0</v>
      </c>
      <c r="J391" s="718">
        <f>L_CViec!AJ318</f>
        <v>0</v>
      </c>
      <c r="K391" s="475"/>
      <c r="L391" s="475"/>
      <c r="M391" s="475"/>
      <c r="N391" s="707"/>
      <c r="O391" s="707"/>
      <c r="P391" s="707"/>
    </row>
    <row r="392" spans="1:25" s="50" customFormat="1" ht="28.9" customHeight="1">
      <c r="A392" s="226" t="str">
        <f>L_CViec!A319</f>
        <v>1</v>
      </c>
      <c r="B392" s="950" t="str">
        <f>L_CViec!B319</f>
        <v>(1) Cột “ĐM Đất” áp dụng cho trường hợp đăng ký, cấp GCN đối với đất; cột “ĐM TS” áp dụng cho trường hợp đăng ký, cấp GCN đối với tài sản; cột “ĐM Đất + TS” áp dụng đối với trường hợp đăng ký, cấp GCN đối với cả đất và tài sản gắn liền với đất.</v>
      </c>
      <c r="C392" s="950"/>
      <c r="D392" s="950"/>
      <c r="E392" s="950"/>
      <c r="F392" s="950"/>
      <c r="G392" s="950"/>
      <c r="H392" s="950"/>
      <c r="I392" s="950"/>
      <c r="J392" s="950"/>
      <c r="K392" s="950"/>
      <c r="L392" s="950"/>
      <c r="M392" s="950"/>
      <c r="N392" s="718"/>
      <c r="O392" s="718"/>
      <c r="P392" s="718"/>
    </row>
    <row r="393" spans="1:25" s="50" customFormat="1" ht="28.9" customHeight="1">
      <c r="A393" s="226" t="str">
        <f>L_CViec!A320</f>
        <v>2</v>
      </c>
      <c r="B393" s="950" t="str">
        <f>L_CViec!B320</f>
        <v>(2) Trường hợp nhiều thửa đất nông nghiệp lập chung trong 1 hồ sơ và cấp chung trong một GCN thì ngoài mức được tính ở trên, mỗi thửa đất tăng thêm được tính mức bằng 0,30 lần định mức quy định đối với Mục 2, 3, 4, 5, 6, 7, 8, 9, 10, 11, 12, 13, 14, 18, 19, 20, 21 và 23 các nội dung thực hiện tại địa bàn xã, phường, đặc khu; Mục 1, 2 và 3 các nội dung thực hiện tại địa bàn tỉnh của Bảng này.</v>
      </c>
      <c r="C393" s="950"/>
      <c r="D393" s="950"/>
      <c r="E393" s="950"/>
      <c r="F393" s="950"/>
      <c r="G393" s="950"/>
      <c r="H393" s="950"/>
      <c r="I393" s="950"/>
      <c r="J393" s="950"/>
      <c r="K393" s="950"/>
      <c r="L393" s="950"/>
      <c r="M393" s="950"/>
      <c r="N393" s="718"/>
      <c r="O393" s="718"/>
      <c r="P393" s="718"/>
    </row>
    <row r="394" spans="1:25" s="50" customFormat="1" ht="17.25" customHeight="1">
      <c r="A394" s="226" t="str">
        <f>L_CViec!A321</f>
        <v>3</v>
      </c>
      <c r="B394" s="950" t="str">
        <f>L_CViec!B321</f>
        <v xml:space="preserve">(3) Trường hợp thửa đất đã cấp GCN mà có thay đổi về mục đích sử dụng đất, ranh giới thửa đất không thay đổi thì áp dụng theo định mức quy định tại Bảng này. </v>
      </c>
      <c r="C394" s="950"/>
      <c r="D394" s="950"/>
      <c r="E394" s="950"/>
      <c r="F394" s="950"/>
      <c r="G394" s="950"/>
      <c r="H394" s="950"/>
      <c r="I394" s="950"/>
      <c r="J394" s="950"/>
      <c r="K394" s="950"/>
      <c r="L394" s="950"/>
      <c r="M394" s="950"/>
      <c r="N394" s="718"/>
      <c r="O394" s="718"/>
      <c r="P394" s="718"/>
    </row>
    <row r="395" spans="1:25" s="50" customFormat="1" ht="25.5" customHeight="1">
      <c r="A395" s="226" t="str">
        <f>L_CViec!A322</f>
        <v>4</v>
      </c>
      <c r="B395" s="950" t="str">
        <f>L_CViec!B322</f>
        <v>(4) Trường hợp thửa đất đã cấp GCN mà có thay đổi về mục đích sử dụng đất, ranh giới thửa đất thì áp dụng theo định mức như đối với trường hợp cấp GCN đơn lẻ lần đầu.</v>
      </c>
      <c r="C395" s="950"/>
      <c r="D395" s="950"/>
      <c r="E395" s="950"/>
      <c r="F395" s="950"/>
      <c r="G395" s="950"/>
      <c r="H395" s="950"/>
      <c r="I395" s="950"/>
      <c r="J395" s="950"/>
      <c r="K395" s="950"/>
      <c r="L395" s="950"/>
      <c r="M395" s="950"/>
      <c r="N395" s="718"/>
      <c r="O395" s="718"/>
      <c r="P395" s="718"/>
    </row>
    <row r="396" spans="1:25" s="50" customFormat="1" ht="28.9" customHeight="1">
      <c r="A396" s="226" t="str">
        <f>L_CViec!A323</f>
        <v>5</v>
      </c>
      <c r="B396" s="950" t="str">
        <f>L_CViec!B323</f>
        <v>(5) Trường hợp cấp đổi GCN đối với thửa đất có biến động khác về quyền sử dụng đất, tài sản gắn liền với đất (chuyển quyền sử dụng đất, thay đổi về tài sản gắn liền với đất, v.v...) thì định mức lao động quy định tại các mục 2 7, 8, 9, 10, 11, 12, 13, 14, 18, 19, 20, 21 và 23 các nội dung thực hiện tại địa bàn xã, phường, đặc khu Bảng này được tính bằng 1,5 lần.</v>
      </c>
      <c r="C396" s="950"/>
      <c r="D396" s="950"/>
      <c r="E396" s="950"/>
      <c r="F396" s="950"/>
      <c r="G396" s="950"/>
      <c r="H396" s="950"/>
      <c r="I396" s="950"/>
      <c r="J396" s="950"/>
      <c r="K396" s="950"/>
      <c r="L396" s="950"/>
      <c r="M396" s="950"/>
      <c r="N396" s="718"/>
      <c r="O396" s="718"/>
      <c r="P396" s="718"/>
    </row>
    <row r="397" spans="1:25" s="50" customFormat="1" ht="15.75" customHeight="1">
      <c r="A397" s="226" t="str">
        <f>L_CViec!A324</f>
        <v>6</v>
      </c>
      <c r="B397" s="950" t="str">
        <f>L_CViec!B324</f>
        <v>(6) Trường hợp cấp đổi GCN đồng thời với thực hiện thủ tục đăng ký biến động đất đai thì áp dụng theo định mức đăng ký biến động đất đai quy định tại Điều 19 Quy định này.</v>
      </c>
      <c r="C397" s="950"/>
      <c r="D397" s="950"/>
      <c r="E397" s="950"/>
      <c r="F397" s="950"/>
      <c r="G397" s="950"/>
      <c r="H397" s="950"/>
      <c r="I397" s="950"/>
      <c r="J397" s="950"/>
      <c r="K397" s="950"/>
      <c r="L397" s="950"/>
      <c r="M397" s="950"/>
      <c r="N397" s="718"/>
      <c r="O397" s="718"/>
      <c r="P397" s="718"/>
    </row>
    <row r="398" spans="1:25" s="24" customFormat="1" ht="14">
      <c r="A398" s="751" t="s">
        <v>305</v>
      </c>
      <c r="B398" s="733"/>
      <c r="C398" s="734"/>
      <c r="D398" s="734"/>
      <c r="E398" s="734"/>
      <c r="F398" s="734"/>
      <c r="G398" s="735"/>
      <c r="H398" s="736"/>
      <c r="I398" s="736"/>
      <c r="J398" s="743"/>
      <c r="K398" s="736"/>
      <c r="L398" s="737"/>
      <c r="M398" s="737"/>
      <c r="N398" s="752"/>
      <c r="O398" s="752"/>
      <c r="P398" s="752"/>
    </row>
    <row r="399" spans="1:25" s="23" customFormat="1" ht="15" customHeight="1">
      <c r="A399" s="953" t="s">
        <v>23</v>
      </c>
      <c r="B399" s="937" t="s">
        <v>44</v>
      </c>
      <c r="C399" s="948" t="s">
        <v>38</v>
      </c>
      <c r="D399" s="701"/>
      <c r="E399" s="948" t="s">
        <v>16</v>
      </c>
      <c r="F399" s="701" t="s">
        <v>96</v>
      </c>
      <c r="G399" s="933" t="s">
        <v>297</v>
      </c>
      <c r="H399" s="933"/>
      <c r="I399" s="933"/>
      <c r="J399" s="927" t="s">
        <v>309</v>
      </c>
      <c r="K399" s="933" t="s">
        <v>35</v>
      </c>
      <c r="L399" s="933"/>
      <c r="M399" s="933"/>
      <c r="N399" s="949" t="s">
        <v>313</v>
      </c>
      <c r="O399" s="949"/>
      <c r="P399" s="949"/>
    </row>
    <row r="400" spans="1:25" s="23" customFormat="1" ht="26">
      <c r="A400" s="953"/>
      <c r="B400" s="938"/>
      <c r="C400" s="948"/>
      <c r="D400" s="701"/>
      <c r="E400" s="948"/>
      <c r="F400" s="701" t="s">
        <v>24</v>
      </c>
      <c r="G400" s="761" t="s">
        <v>316</v>
      </c>
      <c r="H400" s="761" t="s">
        <v>315</v>
      </c>
      <c r="I400" s="761" t="s">
        <v>314</v>
      </c>
      <c r="J400" s="949"/>
      <c r="K400" s="761" t="s">
        <v>316</v>
      </c>
      <c r="L400" s="761" t="s">
        <v>315</v>
      </c>
      <c r="M400" s="761" t="s">
        <v>314</v>
      </c>
      <c r="N400" s="762" t="s">
        <v>316</v>
      </c>
      <c r="O400" s="762" t="s">
        <v>315</v>
      </c>
      <c r="P400" s="763" t="s">
        <v>314</v>
      </c>
    </row>
    <row r="401" spans="1:16" s="50" customFormat="1" ht="26.5" customHeight="1">
      <c r="A401" s="604" t="str">
        <f>L_CViec!A325</f>
        <v>VI</v>
      </c>
      <c r="B401" s="972" t="str">
        <f>L_CViec!B325</f>
        <v>Đăng ký, cấp đổi, cấp lại Giấy chứng nhận riêng lẻ đối với tổ chức, tổ chức tôn giáo, tổ chức tôn giáo trực thuộc, tổ chức nước ngoài có chức năng ngoại giao, tổ chức kinh tế có vốn đầu tư nước ngoài, tổ chức nước ngoài, cá nhân nước ngoài</v>
      </c>
      <c r="C401" s="972"/>
      <c r="D401" s="972"/>
      <c r="E401" s="972"/>
      <c r="F401" s="972"/>
      <c r="G401" s="972"/>
      <c r="H401" s="972"/>
      <c r="I401" s="972"/>
      <c r="J401" s="972"/>
      <c r="K401" s="475"/>
      <c r="L401" s="475"/>
      <c r="M401" s="475"/>
      <c r="N401" s="707"/>
      <c r="O401" s="707"/>
      <c r="P401" s="707"/>
    </row>
    <row r="402" spans="1:16" s="50" customFormat="1" ht="33.75" customHeight="1">
      <c r="A402" s="223" t="str">
        <f>L_CViec!A326</f>
        <v>VI.1</v>
      </c>
      <c r="B402" s="408" t="s">
        <v>733</v>
      </c>
      <c r="C402" s="408">
        <f>L_CViec!AD326</f>
        <v>0</v>
      </c>
      <c r="D402" s="408"/>
      <c r="E402" s="408">
        <f>L_CViec!AE326</f>
        <v>0</v>
      </c>
      <c r="F402" s="408">
        <f>L_CViec!AF326</f>
        <v>0</v>
      </c>
      <c r="G402" s="223"/>
      <c r="H402" s="475"/>
      <c r="I402" s="475"/>
      <c r="J402" s="718">
        <f>L_CViec!AJ326</f>
        <v>0</v>
      </c>
      <c r="K402" s="475">
        <f>SUM(K406,K407,K408,K418,K427,K430,K432,K444,K415,K424,K422,K434,K436,K437,K443,K411,K412,K440,K441,K442)</f>
        <v>1042357.0904999999</v>
      </c>
      <c r="L402" s="475">
        <f t="shared" ref="L402:P402" si="63">SUM(L406,L407,L408,L418,L427,L430,L432,L444,L415,L424,L422,L434,L436,L437,L443,L411,L412,L440,L441,L442)</f>
        <v>973799.65649999992</v>
      </c>
      <c r="M402" s="475">
        <f t="shared" si="63"/>
        <v>1451978.385</v>
      </c>
      <c r="N402" s="767">
        <f t="shared" si="63"/>
        <v>29523.153846153848</v>
      </c>
      <c r="O402" s="767">
        <f t="shared" si="63"/>
        <v>27625.653846153844</v>
      </c>
      <c r="P402" s="767">
        <f t="shared" si="63"/>
        <v>41073.576923076937</v>
      </c>
    </row>
    <row r="403" spans="1:16" s="50" customFormat="1" ht="33.75" customHeight="1">
      <c r="A403" s="223" t="s">
        <v>559</v>
      </c>
      <c r="B403" s="408" t="s">
        <v>734</v>
      </c>
      <c r="C403" s="408"/>
      <c r="D403" s="408"/>
      <c r="E403" s="408"/>
      <c r="F403" s="408"/>
      <c r="G403" s="223"/>
      <c r="H403" s="475"/>
      <c r="I403" s="475"/>
      <c r="J403" s="718"/>
      <c r="K403" s="475">
        <f>SUM(K406,K407,K408,K420,K421,K427,K430,K432,K444,K415,K424,K422,K434,K436,K437,K443,K411,K412,K440,K441,K442)</f>
        <v>954028.46549999993</v>
      </c>
      <c r="L403" s="475">
        <f t="shared" ref="L403:P403" si="64">SUM(L406,L407,L408,L420,L421,L427,L430,L432,L444,L415,L424,L422,L434,L436,L437,L443,L411,L412,L440,L441,L442)</f>
        <v>885471.03149999992</v>
      </c>
      <c r="M403" s="475">
        <f t="shared" si="64"/>
        <v>1249363.335</v>
      </c>
      <c r="N403" s="767">
        <f t="shared" si="64"/>
        <v>26603.923076923074</v>
      </c>
      <c r="O403" s="767">
        <f t="shared" si="64"/>
        <v>24706.423076923078</v>
      </c>
      <c r="P403" s="767">
        <f t="shared" si="64"/>
        <v>34748.576923076937</v>
      </c>
    </row>
    <row r="404" spans="1:16" s="50" customFormat="1" ht="26">
      <c r="A404" s="226" t="str">
        <f>L_CViec!A327</f>
        <v>1</v>
      </c>
      <c r="B404" s="227" t="str">
        <f>L_CViec!B327</f>
        <v>Hướng dẫn lập hồ sơ đề nghị cấp lại hoặc đề nghị cấp đổi GCN</v>
      </c>
      <c r="C404" s="226">
        <f>L_CViec!AD327</f>
        <v>0</v>
      </c>
      <c r="D404" s="226"/>
      <c r="E404" s="226">
        <f>L_CViec!AE327</f>
        <v>0</v>
      </c>
      <c r="F404" s="226">
        <f>L_CViec!AF327</f>
        <v>0</v>
      </c>
      <c r="G404" s="226">
        <f>L_CViec!AG327</f>
        <v>0</v>
      </c>
      <c r="H404" s="283">
        <f>L_CViec!AH327</f>
        <v>0</v>
      </c>
      <c r="I404" s="283">
        <f>L_CViec!AI327</f>
        <v>0</v>
      </c>
      <c r="J404" s="718">
        <f>L_CViec!AJ327</f>
        <v>0</v>
      </c>
      <c r="K404" s="127"/>
      <c r="L404" s="127"/>
      <c r="M404" s="127"/>
      <c r="N404" s="718"/>
      <c r="O404" s="718"/>
      <c r="P404" s="718"/>
    </row>
    <row r="405" spans="1:16" s="66" customFormat="1">
      <c r="A405" s="226" t="str">
        <f>L_CViec!A328</f>
        <v>1.1</v>
      </c>
      <c r="B405" s="227" t="str">
        <f>L_CViec!B328</f>
        <v>Theo hình thức trực tiếp</v>
      </c>
      <c r="C405" s="226" t="str">
        <f>L_CViec!AD328</f>
        <v>Hồ sơ</v>
      </c>
      <c r="D405" s="226">
        <f>L_CViec!AC328</f>
        <v>1</v>
      </c>
      <c r="E405" s="226" t="str">
        <f>L_CViec!AE328</f>
        <v>1KS2</v>
      </c>
      <c r="F405" s="226" t="str">
        <f>L_CViec!AF328</f>
        <v>1-3</v>
      </c>
      <c r="G405" s="226">
        <f>L_CViec!AG328</f>
        <v>0.25</v>
      </c>
      <c r="H405" s="283">
        <f>L_CViec!AH328</f>
        <v>0.25</v>
      </c>
      <c r="I405" s="283">
        <f>L_CViec!AI328</f>
        <v>0.32500000000000001</v>
      </c>
      <c r="J405" s="718">
        <f>L_CViec!AJ328</f>
        <v>320867.25</v>
      </c>
      <c r="K405" s="127">
        <f>G405*$J405</f>
        <v>80216.8125</v>
      </c>
      <c r="L405" s="127">
        <f>H405*$J405</f>
        <v>80216.8125</v>
      </c>
      <c r="M405" s="127">
        <f>I405*$J405</f>
        <v>104281.85625</v>
      </c>
      <c r="N405" s="718">
        <f>$D405*G405*L_CBac!$J$68</f>
        <v>2432.6923076923076</v>
      </c>
      <c r="O405" s="718">
        <f>$D405*H405*L_CBac!$J$68</f>
        <v>2432.6923076923076</v>
      </c>
      <c r="P405" s="718">
        <f>$D405*I405*L_CBac!$J$68</f>
        <v>3162.5</v>
      </c>
    </row>
    <row r="406" spans="1:16" s="66" customFormat="1">
      <c r="A406" s="226" t="str">
        <f>L_CViec!A329</f>
        <v>1.2</v>
      </c>
      <c r="B406" s="227" t="str">
        <f>L_CViec!B329</f>
        <v>Theo hình thức trực tuyến</v>
      </c>
      <c r="C406" s="226" t="str">
        <f>L_CViec!AD329</f>
        <v>Hồ sơ</v>
      </c>
      <c r="D406" s="226">
        <f>L_CViec!AC329</f>
        <v>1</v>
      </c>
      <c r="E406" s="226" t="str">
        <f>L_CViec!AE329</f>
        <v>1KS2</v>
      </c>
      <c r="F406" s="226" t="str">
        <f>L_CViec!AF329</f>
        <v>1-3</v>
      </c>
      <c r="G406" s="226">
        <f>L_CViec!AG329</f>
        <v>0.2</v>
      </c>
      <c r="H406" s="283">
        <f>L_CViec!AH329</f>
        <v>0.2</v>
      </c>
      <c r="I406" s="283">
        <f>L_CViec!AI329</f>
        <v>0.26</v>
      </c>
      <c r="J406" s="718">
        <f>L_CViec!AJ329</f>
        <v>320867.25</v>
      </c>
      <c r="K406" s="127">
        <f t="shared" ref="K406:K420" si="65">G406*$J406</f>
        <v>64173.450000000004</v>
      </c>
      <c r="L406" s="127">
        <f t="shared" ref="L406:L420" si="66">H406*$J406</f>
        <v>64173.450000000004</v>
      </c>
      <c r="M406" s="608">
        <f t="shared" ref="M406:M420" si="67">I406*$J406</f>
        <v>83425.485000000001</v>
      </c>
      <c r="N406" s="718">
        <f>$D406*G406*L_CBac!$J$68</f>
        <v>1946.1538461538462</v>
      </c>
      <c r="O406" s="718">
        <f>$D406*H406*L_CBac!$J$68</f>
        <v>1946.1538461538462</v>
      </c>
      <c r="P406" s="718">
        <f>$D406*I406*L_CBac!$J$68</f>
        <v>2530</v>
      </c>
    </row>
    <row r="407" spans="1:16" s="50" customFormat="1" ht="39">
      <c r="A407" s="226" t="str">
        <f>L_CViec!A330</f>
        <v>2</v>
      </c>
      <c r="B407" s="227" t="str">
        <f>L_CViec!B330</f>
        <v>Nhận, kiểm tra tính đầy đủ của thành phần hồ sơ và cấp Giấy tiếp nhận hồ sơ và hẹn trả kết quả hoặc trả lại hồ sơ, vào sổ theo dõi nhận, trả hồ sơ (theo hình thức trực tiếp, trực tuyến)</v>
      </c>
      <c r="C407" s="226" t="str">
        <f>L_CViec!AD330</f>
        <v>Hồ sơ</v>
      </c>
      <c r="D407" s="226">
        <f>L_CViec!AC330</f>
        <v>1</v>
      </c>
      <c r="E407" s="226" t="str">
        <f>L_CViec!AE330</f>
        <v>1KS2</v>
      </c>
      <c r="F407" s="226" t="str">
        <f>L_CViec!AF330</f>
        <v>1-3</v>
      </c>
      <c r="G407" s="226">
        <f>L_CViec!AG330</f>
        <v>0.2</v>
      </c>
      <c r="H407" s="283">
        <f>L_CViec!AH330</f>
        <v>0.2</v>
      </c>
      <c r="I407" s="283">
        <f>L_CViec!AI330</f>
        <v>0.26</v>
      </c>
      <c r="J407" s="718">
        <f>L_CViec!AJ330</f>
        <v>320867.25</v>
      </c>
      <c r="K407" s="127">
        <f t="shared" si="65"/>
        <v>64173.450000000004</v>
      </c>
      <c r="L407" s="127">
        <f t="shared" si="66"/>
        <v>64173.450000000004</v>
      </c>
      <c r="M407" s="608">
        <f t="shared" si="67"/>
        <v>83425.485000000001</v>
      </c>
      <c r="N407" s="718">
        <f>$D407*G407*L_CBac!$J$68</f>
        <v>1946.1538461538462</v>
      </c>
      <c r="O407" s="718">
        <f>$D407*H407*L_CBac!$J$68</f>
        <v>1946.1538461538462</v>
      </c>
      <c r="P407" s="718">
        <f>$D407*I407*L_CBac!$J$68</f>
        <v>2530</v>
      </c>
    </row>
    <row r="408" spans="1:16" s="50" customFormat="1" ht="26">
      <c r="A408" s="226" t="str">
        <f>L_CViec!A331</f>
        <v>3</v>
      </c>
      <c r="B408" s="227" t="str">
        <f>L_CViec!B331</f>
        <v>Tạo tệp (File) dữ liệu hồ sơ số và nhập thông tin do người sử dụng đất quản lý kê khai, đăng ký</v>
      </c>
      <c r="C408" s="226" t="str">
        <f>L_CViec!AD331</f>
        <v>Thửa</v>
      </c>
      <c r="D408" s="226">
        <f>L_CViec!AC331</f>
        <v>1</v>
      </c>
      <c r="E408" s="226" t="str">
        <f>L_CViec!AE331</f>
        <v>1KS3</v>
      </c>
      <c r="F408" s="226" t="str">
        <f>L_CViec!AF331</f>
        <v>1-3</v>
      </c>
      <c r="G408" s="226">
        <f>L_CViec!AG331</f>
        <v>0.107</v>
      </c>
      <c r="H408" s="283">
        <f>L_CViec!AH331</f>
        <v>3.3000000000000002E-2</v>
      </c>
      <c r="I408" s="283">
        <f>L_CViec!AI331</f>
        <v>0.16700000000000001</v>
      </c>
      <c r="J408" s="718">
        <f>L_CViec!AJ331</f>
        <v>360525</v>
      </c>
      <c r="K408" s="127">
        <f t="shared" si="65"/>
        <v>38576.174999999996</v>
      </c>
      <c r="L408" s="127">
        <f t="shared" si="66"/>
        <v>11897.325000000001</v>
      </c>
      <c r="M408" s="608">
        <f t="shared" si="67"/>
        <v>60207.675000000003</v>
      </c>
      <c r="N408" s="718">
        <f>$D408*G408*L_CBac!$J$68</f>
        <v>1041.1923076923076</v>
      </c>
      <c r="O408" s="718">
        <f>$D408*H408*L_CBac!$J$68</f>
        <v>321.11538461538464</v>
      </c>
      <c r="P408" s="718">
        <f>$D408*I408*L_CBac!$J$68</f>
        <v>1625.0384615384617</v>
      </c>
    </row>
    <row r="409" spans="1:16" s="183" customFormat="1" ht="26">
      <c r="A409" s="226" t="str">
        <f>L_CViec!A332</f>
        <v>4</v>
      </c>
      <c r="B409" s="227" t="str">
        <f>L_CViec!B332</f>
        <v>Quét giấy tờ pháp lý về quyền sử dụng đất, quyền sở hữu nhà ở và tài sản khác gắn liền với đất</v>
      </c>
      <c r="C409" s="226">
        <f>L_CViec!AD332</f>
        <v>0</v>
      </c>
      <c r="D409" s="226">
        <f>L_CViec!AC332</f>
        <v>0</v>
      </c>
      <c r="E409" s="226">
        <f>L_CViec!AE332</f>
        <v>0</v>
      </c>
      <c r="F409" s="226">
        <f>L_CViec!AF332</f>
        <v>0</v>
      </c>
      <c r="G409" s="226">
        <f>L_CViec!AG332</f>
        <v>0</v>
      </c>
      <c r="H409" s="283">
        <f>L_CViec!AH332</f>
        <v>0</v>
      </c>
      <c r="I409" s="283">
        <f>L_CViec!AI332</f>
        <v>0</v>
      </c>
      <c r="J409" s="718">
        <f>L_CViec!AJ332</f>
        <v>0</v>
      </c>
      <c r="K409" s="127">
        <f t="shared" si="65"/>
        <v>0</v>
      </c>
      <c r="L409" s="127">
        <f t="shared" si="66"/>
        <v>0</v>
      </c>
      <c r="M409" s="127">
        <f t="shared" si="67"/>
        <v>0</v>
      </c>
      <c r="N409" s="718">
        <f>$D409*G409*L_CBac!$J$68</f>
        <v>0</v>
      </c>
      <c r="O409" s="718">
        <f>$D409*H409*L_CBac!$J$68</f>
        <v>0</v>
      </c>
      <c r="P409" s="718">
        <f>$D409*I409*L_CBac!$J$68</f>
        <v>0</v>
      </c>
    </row>
    <row r="410" spans="1:16" s="183" customFormat="1">
      <c r="A410" s="226" t="str">
        <f>L_CViec!A333</f>
        <v>4.1</v>
      </c>
      <c r="B410" s="227" t="str">
        <f>L_CViec!B333</f>
        <v>Quét trang A3</v>
      </c>
      <c r="C410" s="226" t="str">
        <f>L_CViec!AD333</f>
        <v>Trang</v>
      </c>
      <c r="D410" s="226">
        <f>L_CViec!AC333</f>
        <v>1</v>
      </c>
      <c r="E410" s="226" t="str">
        <f>L_CViec!AE333</f>
        <v>1KS1</v>
      </c>
      <c r="F410" s="226" t="str">
        <f>L_CViec!AF333</f>
        <v>1-3</v>
      </c>
      <c r="G410" s="226">
        <f>L_CViec!AG333</f>
        <v>1.6E-2</v>
      </c>
      <c r="H410" s="283">
        <f>L_CViec!AH333</f>
        <v>0.02</v>
      </c>
      <c r="I410" s="283">
        <f>L_CViec!AI333</f>
        <v>2.4E-2</v>
      </c>
      <c r="J410" s="718">
        <f>L_CViec!AJ333</f>
        <v>281209.5</v>
      </c>
      <c r="K410" s="127">
        <f t="shared" si="65"/>
        <v>4499.3519999999999</v>
      </c>
      <c r="L410" s="127">
        <f t="shared" si="66"/>
        <v>5624.1900000000005</v>
      </c>
      <c r="M410" s="127">
        <f t="shared" si="67"/>
        <v>6749.0280000000002</v>
      </c>
      <c r="N410" s="718">
        <f>$D410*G410*L_CBac!$J$68</f>
        <v>155.69230769230768</v>
      </c>
      <c r="O410" s="718">
        <f>$D410*H410*L_CBac!$J$68</f>
        <v>194.61538461538461</v>
      </c>
      <c r="P410" s="718">
        <f>$D410*I410*L_CBac!$J$68</f>
        <v>233.53846153846155</v>
      </c>
    </row>
    <row r="411" spans="1:16" s="183" customFormat="1">
      <c r="A411" s="226" t="str">
        <f>L_CViec!A334</f>
        <v>4.2</v>
      </c>
      <c r="B411" s="227" t="str">
        <f>L_CViec!B334</f>
        <v>Quét trang A4</v>
      </c>
      <c r="C411" s="226" t="str">
        <f>L_CViec!AD334</f>
        <v>Trang</v>
      </c>
      <c r="D411" s="226">
        <f>L_CViec!AC334</f>
        <v>1</v>
      </c>
      <c r="E411" s="226" t="str">
        <f>L_CViec!AE334</f>
        <v>1KS1</v>
      </c>
      <c r="F411" s="226" t="str">
        <f>L_CViec!AF334</f>
        <v>1-3</v>
      </c>
      <c r="G411" s="226">
        <f>L_CViec!AG334</f>
        <v>8.0000000000000002E-3</v>
      </c>
      <c r="H411" s="283">
        <f>L_CViec!AH334</f>
        <v>0.01</v>
      </c>
      <c r="I411" s="283">
        <f>L_CViec!AI334</f>
        <v>1.2E-2</v>
      </c>
      <c r="J411" s="718">
        <f>L_CViec!AJ334</f>
        <v>281209.5</v>
      </c>
      <c r="K411" s="127">
        <f t="shared" si="65"/>
        <v>2249.6759999999999</v>
      </c>
      <c r="L411" s="127">
        <f t="shared" si="66"/>
        <v>2812.0950000000003</v>
      </c>
      <c r="M411" s="127">
        <f t="shared" si="67"/>
        <v>3374.5140000000001</v>
      </c>
      <c r="N411" s="718">
        <f>$D411*G411*L_CBac!$J$68</f>
        <v>77.84615384615384</v>
      </c>
      <c r="O411" s="718">
        <f>$D411*H411*L_CBac!$J$68</f>
        <v>97.307692307692307</v>
      </c>
      <c r="P411" s="718">
        <f>$D411*I411*L_CBac!$J$68</f>
        <v>116.76923076923077</v>
      </c>
    </row>
    <row r="412" spans="1:16" s="50" customFormat="1" ht="26">
      <c r="A412" s="226" t="str">
        <f>L_CViec!A335</f>
        <v>5</v>
      </c>
      <c r="B412" s="227" t="str">
        <f>L_CViec!B335</f>
        <v>Xử lý các tệp tin quét thành tệp (File) hồ sơ quét dạng số của thửa đất, lưu trữ dưới khuôn dạng tệp tin PDF</v>
      </c>
      <c r="C412" s="226" t="str">
        <f>L_CViec!AD335</f>
        <v>Trang</v>
      </c>
      <c r="D412" s="226">
        <f>L_CViec!AC335</f>
        <v>1</v>
      </c>
      <c r="E412" s="226" t="str">
        <f>L_CViec!AE335</f>
        <v>1KS1</v>
      </c>
      <c r="F412" s="226" t="str">
        <f>L_CViec!AF335</f>
        <v>1-3</v>
      </c>
      <c r="G412" s="226">
        <f>L_CViec!AG335</f>
        <v>4.0000000000000001E-3</v>
      </c>
      <c r="H412" s="283">
        <f>L_CViec!AH335</f>
        <v>5.0000000000000001E-3</v>
      </c>
      <c r="I412" s="283">
        <f>L_CViec!AI335</f>
        <v>6.0000000000000001E-3</v>
      </c>
      <c r="J412" s="718">
        <f>L_CViec!AJ335</f>
        <v>281209.5</v>
      </c>
      <c r="K412" s="127">
        <f t="shared" si="65"/>
        <v>1124.838</v>
      </c>
      <c r="L412" s="127">
        <f t="shared" si="66"/>
        <v>1406.0475000000001</v>
      </c>
      <c r="M412" s="127">
        <f t="shared" si="67"/>
        <v>1687.2570000000001</v>
      </c>
      <c r="N412" s="718">
        <f>$D412*G412*L_CBac!$J$68</f>
        <v>38.92307692307692</v>
      </c>
      <c r="O412" s="718">
        <f>$D412*H412*L_CBac!$J$68</f>
        <v>48.653846153846153</v>
      </c>
      <c r="P412" s="718">
        <f>$D412*I412*L_CBac!$J$68</f>
        <v>58.384615384615387</v>
      </c>
    </row>
    <row r="413" spans="1:16" s="183" customFormat="1">
      <c r="A413" s="226">
        <f>L_CViec!A336</f>
        <v>6</v>
      </c>
      <c r="B413" s="227" t="str">
        <f>L_CViec!B336</f>
        <v>Chuyển hồ sơ đến Văn phòng đăng ký đất đai</v>
      </c>
      <c r="C413" s="226">
        <f>L_CViec!AD336</f>
        <v>0</v>
      </c>
      <c r="D413" s="226">
        <f>L_CViec!AC336</f>
        <v>0</v>
      </c>
      <c r="E413" s="226">
        <f>L_CViec!AE336</f>
        <v>0</v>
      </c>
      <c r="F413" s="226">
        <f>L_CViec!AF336</f>
        <v>0</v>
      </c>
      <c r="G413" s="226">
        <f>L_CViec!AG336</f>
        <v>0</v>
      </c>
      <c r="H413" s="283">
        <f>L_CViec!AH336</f>
        <v>0</v>
      </c>
      <c r="I413" s="283">
        <f>L_CViec!AI336</f>
        <v>0</v>
      </c>
      <c r="J413" s="718">
        <f>L_CViec!AJ336</f>
        <v>0</v>
      </c>
      <c r="K413" s="127">
        <f t="shared" si="65"/>
        <v>0</v>
      </c>
      <c r="L413" s="127">
        <f t="shared" si="66"/>
        <v>0</v>
      </c>
      <c r="M413" s="127">
        <f t="shared" si="67"/>
        <v>0</v>
      </c>
      <c r="N413" s="718">
        <f>$D413*G413*L_CBac!$J$68</f>
        <v>0</v>
      </c>
      <c r="O413" s="718">
        <f>$D413*H413*L_CBac!$J$68</f>
        <v>0</v>
      </c>
      <c r="P413" s="718">
        <f>$D413*I413*L_CBac!$J$68</f>
        <v>0</v>
      </c>
    </row>
    <row r="414" spans="1:16" s="183" customFormat="1">
      <c r="A414" s="226">
        <f>L_CViec!A337</f>
        <v>6.1</v>
      </c>
      <c r="B414" s="227" t="str">
        <f>L_CViec!B337</f>
        <v>Theo hình thức trực tiếp</v>
      </c>
      <c r="C414" s="226" t="str">
        <f>L_CViec!AD337</f>
        <v>Hồ sơ</v>
      </c>
      <c r="D414" s="226">
        <f>L_CViec!AC337</f>
        <v>1</v>
      </c>
      <c r="E414" s="226" t="str">
        <f>L_CViec!AE337</f>
        <v>1KS2</v>
      </c>
      <c r="F414" s="226" t="str">
        <f>L_CViec!AF337</f>
        <v>1-3</v>
      </c>
      <c r="G414" s="226">
        <f>L_CViec!AG337</f>
        <v>0.05</v>
      </c>
      <c r="H414" s="283">
        <f>L_CViec!AH337</f>
        <v>0.05</v>
      </c>
      <c r="I414" s="283">
        <f>L_CViec!AI337</f>
        <v>0.05</v>
      </c>
      <c r="J414" s="718">
        <f>L_CViec!AJ337</f>
        <v>320867.25</v>
      </c>
      <c r="K414" s="127">
        <f t="shared" si="65"/>
        <v>16043.362500000001</v>
      </c>
      <c r="L414" s="127">
        <f t="shared" si="66"/>
        <v>16043.362500000001</v>
      </c>
      <c r="M414" s="127">
        <f t="shared" si="67"/>
        <v>16043.362500000001</v>
      </c>
      <c r="N414" s="718">
        <f>$D414*G414*L_CBac!$J$68</f>
        <v>486.53846153846155</v>
      </c>
      <c r="O414" s="718">
        <f>$D414*H414*L_CBac!$J$68</f>
        <v>486.53846153846155</v>
      </c>
      <c r="P414" s="718">
        <f>$D414*I414*L_CBac!$J$68</f>
        <v>486.53846153846155</v>
      </c>
    </row>
    <row r="415" spans="1:16" s="183" customFormat="1">
      <c r="A415" s="226">
        <f>L_CViec!A338</f>
        <v>6.2</v>
      </c>
      <c r="B415" s="227" t="str">
        <f>L_CViec!B338</f>
        <v>Theo hình thức trực tuyến</v>
      </c>
      <c r="C415" s="226" t="str">
        <f>L_CViec!AD338</f>
        <v>Hồ sơ</v>
      </c>
      <c r="D415" s="226">
        <f>L_CViec!AC338</f>
        <v>1</v>
      </c>
      <c r="E415" s="226" t="str">
        <f>L_CViec!AE338</f>
        <v>1KS2</v>
      </c>
      <c r="F415" s="226" t="str">
        <f>L_CViec!AF338</f>
        <v>1-3</v>
      </c>
      <c r="G415" s="226">
        <f>L_CViec!AG338</f>
        <v>0.04</v>
      </c>
      <c r="H415" s="283">
        <f>L_CViec!AH338</f>
        <v>0.04</v>
      </c>
      <c r="I415" s="283">
        <f>L_CViec!AI338</f>
        <v>0.04</v>
      </c>
      <c r="J415" s="718">
        <f>L_CViec!AJ338</f>
        <v>320867.25</v>
      </c>
      <c r="K415" s="127">
        <f t="shared" si="65"/>
        <v>12834.69</v>
      </c>
      <c r="L415" s="127">
        <f t="shared" si="66"/>
        <v>12834.69</v>
      </c>
      <c r="M415" s="608">
        <f t="shared" si="67"/>
        <v>12834.69</v>
      </c>
      <c r="N415" s="718">
        <f>$D415*G415*L_CBac!$J$68</f>
        <v>389.23076923076923</v>
      </c>
      <c r="O415" s="718">
        <f>$D415*H415*L_CBac!$J$68</f>
        <v>389.23076923076923</v>
      </c>
      <c r="P415" s="718">
        <f>$D415*I415*L_CBac!$J$68</f>
        <v>389.23076923076923</v>
      </c>
    </row>
    <row r="416" spans="1:16" s="50" customFormat="1" ht="26">
      <c r="A416" s="226" t="str">
        <f>L_CViec!A339</f>
        <v>7</v>
      </c>
      <c r="B416" s="227" t="str">
        <f>L_CViec!B339</f>
        <v>Kiểm tra hồ sơ đề nghị đăng ký, cấp đổi, cấp lại Giấy chứng nhận</v>
      </c>
      <c r="C416" s="226">
        <f>L_CViec!AD339</f>
        <v>0</v>
      </c>
      <c r="D416" s="226">
        <f>L_CViec!AC339</f>
        <v>0</v>
      </c>
      <c r="E416" s="226">
        <f>L_CViec!AE339</f>
        <v>0</v>
      </c>
      <c r="F416" s="226">
        <f>L_CViec!AF339</f>
        <v>0</v>
      </c>
      <c r="G416" s="226">
        <f>L_CViec!AG339</f>
        <v>0</v>
      </c>
      <c r="H416" s="283">
        <f>L_CViec!AH339</f>
        <v>0</v>
      </c>
      <c r="I416" s="283">
        <f>L_CViec!AI339</f>
        <v>0</v>
      </c>
      <c r="J416" s="718">
        <f>L_CViec!AJ339</f>
        <v>0</v>
      </c>
      <c r="K416" s="127">
        <f t="shared" si="65"/>
        <v>0</v>
      </c>
      <c r="L416" s="127">
        <f t="shared" si="66"/>
        <v>0</v>
      </c>
      <c r="M416" s="127">
        <f t="shared" si="67"/>
        <v>0</v>
      </c>
      <c r="N416" s="718">
        <f>$D416*G416*L_CBac!$J$68</f>
        <v>0</v>
      </c>
      <c r="O416" s="718">
        <f>$D416*H416*L_CBac!$J$68</f>
        <v>0</v>
      </c>
      <c r="P416" s="718">
        <f>$D416*I416*L_CBac!$J$68</f>
        <v>0</v>
      </c>
    </row>
    <row r="417" spans="1:16" s="50" customFormat="1">
      <c r="A417" s="226" t="str">
        <f>L_CViec!A340</f>
        <v>7.1</v>
      </c>
      <c r="B417" s="227" t="str">
        <f>L_CViec!B340</f>
        <v>Trường hợp cấp đổi Giấy chứng nhận:</v>
      </c>
      <c r="C417" s="226">
        <f>L_CViec!AD340</f>
        <v>0</v>
      </c>
      <c r="D417" s="226">
        <f>L_CViec!AC340</f>
        <v>0</v>
      </c>
      <c r="E417" s="226">
        <f>L_CViec!AE340</f>
        <v>0</v>
      </c>
      <c r="F417" s="226">
        <f>L_CViec!AF340</f>
        <v>0</v>
      </c>
      <c r="G417" s="226">
        <f>L_CViec!AG340</f>
        <v>0</v>
      </c>
      <c r="H417" s="283">
        <f>L_CViec!AH340</f>
        <v>0</v>
      </c>
      <c r="I417" s="283">
        <f>L_CViec!AI340</f>
        <v>0</v>
      </c>
      <c r="J417" s="718">
        <f>L_CViec!AJ340</f>
        <v>0</v>
      </c>
      <c r="K417" s="127">
        <f t="shared" si="65"/>
        <v>0</v>
      </c>
      <c r="L417" s="127">
        <f t="shared" si="66"/>
        <v>0</v>
      </c>
      <c r="M417" s="127">
        <f t="shared" si="67"/>
        <v>0</v>
      </c>
      <c r="N417" s="718">
        <f>$D417*G417*L_CBac!$J$68</f>
        <v>0</v>
      </c>
      <c r="O417" s="718">
        <f>$D417*H417*L_CBac!$J$68</f>
        <v>0</v>
      </c>
      <c r="P417" s="718">
        <f>$D417*I417*L_CBac!$J$68</f>
        <v>0</v>
      </c>
    </row>
    <row r="418" spans="1:16" s="50" customFormat="1" ht="52">
      <c r="A418" s="226" t="str">
        <f>L_CViec!A341</f>
        <v>7.1.1</v>
      </c>
      <c r="B418" s="227" t="str">
        <f>L_CViec!B341</f>
        <v>Kiểm tra thực địa và đối chiếu với hồ sơ đăng ký, cấp Giấy chứng nhận đã cấp để xác định đúng vị trí thửa đất (đối với trường hợp vị trí thửa đất trên Giấy chứng nhận đã cấp không chính xác so với vị trí thực tế sử dụng đất)</v>
      </c>
      <c r="C418" s="226" t="str">
        <f>L_CViec!AD341</f>
        <v>Hồ sơ</v>
      </c>
      <c r="D418" s="226">
        <f>L_CViec!AC341</f>
        <v>2</v>
      </c>
      <c r="E418" s="226" t="str">
        <f>L_CViec!AE341</f>
        <v>Nhóm 2 (1KS3, 1KS2)</v>
      </c>
      <c r="F418" s="226" t="str">
        <f>L_CViec!AF341</f>
        <v>1-3</v>
      </c>
      <c r="G418" s="226">
        <f>L_CViec!AG341</f>
        <v>0.5</v>
      </c>
      <c r="H418" s="283">
        <f>L_CViec!AH341</f>
        <v>0.5</v>
      </c>
      <c r="I418" s="283">
        <f>L_CViec!AI341</f>
        <v>0.8</v>
      </c>
      <c r="J418" s="718">
        <f>L_CViec!AJ341</f>
        <v>681392.25</v>
      </c>
      <c r="K418" s="127">
        <f t="shared" si="65"/>
        <v>340696.125</v>
      </c>
      <c r="L418" s="127">
        <f t="shared" si="66"/>
        <v>340696.125</v>
      </c>
      <c r="M418" s="608">
        <f t="shared" si="67"/>
        <v>545113.80000000005</v>
      </c>
      <c r="N418" s="718">
        <f>$D418*G418*L_CBac!$J$68</f>
        <v>9730.7692307692305</v>
      </c>
      <c r="O418" s="718">
        <f>$D418*H418*L_CBac!$J$68</f>
        <v>9730.7692307692305</v>
      </c>
      <c r="P418" s="718">
        <f>$D418*I418*L_CBac!$J$68</f>
        <v>15569.23076923077</v>
      </c>
    </row>
    <row r="419" spans="1:16" s="50" customFormat="1">
      <c r="A419" s="226">
        <f>L_CViec!A342</f>
        <v>7.2</v>
      </c>
      <c r="B419" s="227" t="str">
        <f>L_CViec!B342</f>
        <v>Trường hợp cấp lại Giấy chứng nhận</v>
      </c>
      <c r="C419" s="226">
        <f>L_CViec!AD342</f>
        <v>0</v>
      </c>
      <c r="D419" s="226">
        <f>L_CViec!AC342</f>
        <v>0</v>
      </c>
      <c r="E419" s="226">
        <f>L_CViec!AE342</f>
        <v>0</v>
      </c>
      <c r="F419" s="226">
        <f>L_CViec!AF342</f>
        <v>0</v>
      </c>
      <c r="G419" s="226">
        <f>L_CViec!AG342</f>
        <v>0</v>
      </c>
      <c r="H419" s="283">
        <f>L_CViec!AH342</f>
        <v>0</v>
      </c>
      <c r="I419" s="283">
        <f>L_CViec!AI342</f>
        <v>0</v>
      </c>
      <c r="J419" s="718">
        <f>L_CViec!AJ342</f>
        <v>0</v>
      </c>
      <c r="K419" s="127">
        <f t="shared" si="65"/>
        <v>0</v>
      </c>
      <c r="L419" s="127">
        <f t="shared" si="66"/>
        <v>0</v>
      </c>
      <c r="M419" s="127">
        <f t="shared" si="67"/>
        <v>0</v>
      </c>
      <c r="N419" s="718">
        <f>$D419*G419*L_CBac!$J$68</f>
        <v>0</v>
      </c>
      <c r="O419" s="718">
        <f>$D419*H419*L_CBac!$J$68</f>
        <v>0</v>
      </c>
      <c r="P419" s="718">
        <f>$D419*I419*L_CBac!$J$68</f>
        <v>0</v>
      </c>
    </row>
    <row r="420" spans="1:16" s="183" customFormat="1" ht="39">
      <c r="A420" s="226" t="str">
        <f>L_CViec!A343</f>
        <v>7.2.1</v>
      </c>
      <c r="B420" s="227" t="str">
        <f>L_CViec!B343</f>
        <v>Thông báo, trả lại hồ sơ cho người sử dụng đất, chủ sở hữu tài sản gắn liền với đất đối với trường hợp không đủ điều kiện thực hiện thủ tục đăng ký</v>
      </c>
      <c r="C420" s="226" t="str">
        <f>L_CViec!AD343</f>
        <v>Hồ sơ</v>
      </c>
      <c r="D420" s="226">
        <f>L_CViec!AC343</f>
        <v>1</v>
      </c>
      <c r="E420" s="226" t="str">
        <f>L_CViec!AE343</f>
        <v>1KS3</v>
      </c>
      <c r="F420" s="226" t="str">
        <f>L_CViec!AF343</f>
        <v>1-3</v>
      </c>
      <c r="G420" s="226">
        <f>L_CViec!AG343</f>
        <v>0.5</v>
      </c>
      <c r="H420" s="283">
        <f>L_CViec!AH343</f>
        <v>0.5</v>
      </c>
      <c r="I420" s="283">
        <f>L_CViec!AI343</f>
        <v>0.65</v>
      </c>
      <c r="J420" s="718">
        <f>L_CViec!AJ343</f>
        <v>360525</v>
      </c>
      <c r="K420" s="127">
        <f t="shared" si="65"/>
        <v>180262.5</v>
      </c>
      <c r="L420" s="127">
        <f t="shared" si="66"/>
        <v>180262.5</v>
      </c>
      <c r="M420" s="608">
        <f t="shared" si="67"/>
        <v>234341.25</v>
      </c>
      <c r="N420" s="718">
        <f>$D420*G420*L_CBac!$J$68</f>
        <v>4865.3846153846152</v>
      </c>
      <c r="O420" s="718">
        <f>$D420*H420*L_CBac!$J$68</f>
        <v>4865.3846153846152</v>
      </c>
      <c r="P420" s="718">
        <f>$D420*I420*L_CBac!$J$68</f>
        <v>6325</v>
      </c>
    </row>
    <row r="421" spans="1:16" s="183" customFormat="1" ht="39">
      <c r="A421" s="226" t="str">
        <f>L_CViec!A344</f>
        <v>7.2.2</v>
      </c>
      <c r="B421" s="227" t="str">
        <f>L_CViec!B344</f>
        <v>Thông báo việc đăng tin 03 lần trên phương tiện thông tin đại chúng ở địa phương trong thời gian 15 ngày về việc mất Giấy chứng nhận đã cấp</v>
      </c>
      <c r="C421" s="226" t="str">
        <f>L_CViec!AD344</f>
        <v>Hồ sơ</v>
      </c>
      <c r="D421" s="226">
        <f>L_CViec!AC344</f>
        <v>1</v>
      </c>
      <c r="E421" s="226" t="str">
        <f>L_CViec!AE344</f>
        <v>1KS3</v>
      </c>
      <c r="F421" s="226" t="str">
        <f>L_CViec!AF344</f>
        <v>1-3</v>
      </c>
      <c r="G421" s="226">
        <f>L_CViec!AG344</f>
        <v>0.2</v>
      </c>
      <c r="H421" s="283">
        <f>L_CViec!AH344</f>
        <v>0.2</v>
      </c>
      <c r="I421" s="283">
        <f>L_CViec!AI344</f>
        <v>0.3</v>
      </c>
      <c r="J421" s="718">
        <f>L_CViec!AJ344</f>
        <v>360525</v>
      </c>
      <c r="K421" s="127">
        <f t="shared" ref="K421:K444" si="68">G421*$J421</f>
        <v>72105</v>
      </c>
      <c r="L421" s="127">
        <f t="shared" ref="L421:L444" si="69">H421*$J421</f>
        <v>72105</v>
      </c>
      <c r="M421" s="608">
        <f t="shared" ref="M421:M444" si="70">I421*$J421</f>
        <v>108157.5</v>
      </c>
      <c r="N421" s="718">
        <f>$D421*G421*L_CBac!$J$68</f>
        <v>1946.1538461538462</v>
      </c>
      <c r="O421" s="718">
        <f>$D421*H421*L_CBac!$J$68</f>
        <v>1946.1538461538462</v>
      </c>
      <c r="P421" s="718">
        <f>$D421*I421*L_CBac!$J$68</f>
        <v>2919.2307692307691</v>
      </c>
    </row>
    <row r="422" spans="1:16" s="183" customFormat="1" ht="26">
      <c r="A422" s="226" t="str">
        <f>L_CViec!A345</f>
        <v>8</v>
      </c>
      <c r="B422" s="227" t="str">
        <f>L_CViec!B345</f>
        <v>Nhập ý kiến nội dung xác nhận của cấp tỉnh vào tệp (File) dữ liệu hồ sơ số</v>
      </c>
      <c r="C422" s="226" t="str">
        <f>L_CViec!AD345</f>
        <v>Thửa</v>
      </c>
      <c r="D422" s="226">
        <f>L_CViec!AC345</f>
        <v>1</v>
      </c>
      <c r="E422" s="226" t="str">
        <f>L_CViec!AE345</f>
        <v>1KS3</v>
      </c>
      <c r="F422" s="226" t="str">
        <f>L_CViec!AF345</f>
        <v>1-3</v>
      </c>
      <c r="G422" s="226">
        <f>L_CViec!AG345</f>
        <v>6.0000000000000001E-3</v>
      </c>
      <c r="H422" s="283">
        <f>L_CViec!AH345</f>
        <v>6.0000000000000001E-3</v>
      </c>
      <c r="I422" s="283">
        <f>L_CViec!AI345</f>
        <v>6.0000000000000001E-3</v>
      </c>
      <c r="J422" s="718">
        <f>L_CViec!AJ345</f>
        <v>360525</v>
      </c>
      <c r="K422" s="127">
        <f t="shared" si="68"/>
        <v>2163.15</v>
      </c>
      <c r="L422" s="127">
        <f t="shared" si="69"/>
        <v>2163.15</v>
      </c>
      <c r="M422" s="608">
        <f t="shared" si="70"/>
        <v>2163.15</v>
      </c>
      <c r="N422" s="718">
        <f>$D422*G422*L_CBac!$J$68</f>
        <v>58.384615384615387</v>
      </c>
      <c r="O422" s="718">
        <f>$D422*H422*L_CBac!$J$68</f>
        <v>58.384615384615387</v>
      </c>
      <c r="P422" s="718">
        <f>$D422*I422*L_CBac!$J$68</f>
        <v>58.384615384615387</v>
      </c>
    </row>
    <row r="423" spans="1:16" s="183" customFormat="1">
      <c r="A423" s="226" t="str">
        <f>L_CViec!A346</f>
        <v>9</v>
      </c>
      <c r="B423" s="227" t="str">
        <f>L_CViec!B346</f>
        <v>Trích lục bản đồ địa chính hoặc trích đo bản đồ địa chính</v>
      </c>
      <c r="C423" s="226">
        <f>L_CViec!AD346</f>
        <v>0</v>
      </c>
      <c r="D423" s="226">
        <f>L_CViec!AC346</f>
        <v>0</v>
      </c>
      <c r="E423" s="226">
        <f>L_CViec!AE346</f>
        <v>0</v>
      </c>
      <c r="F423" s="226">
        <f>L_CViec!AF346</f>
        <v>0</v>
      </c>
      <c r="G423" s="226">
        <f>L_CViec!AG346</f>
        <v>0</v>
      </c>
      <c r="H423" s="283">
        <f>L_CViec!AH346</f>
        <v>0</v>
      </c>
      <c r="I423" s="283">
        <f>L_CViec!AI346</f>
        <v>0</v>
      </c>
      <c r="J423" s="718">
        <f>L_CViec!AJ346</f>
        <v>0</v>
      </c>
      <c r="K423" s="127">
        <f t="shared" si="68"/>
        <v>0</v>
      </c>
      <c r="L423" s="127">
        <f t="shared" si="69"/>
        <v>0</v>
      </c>
      <c r="M423" s="127">
        <f t="shared" si="70"/>
        <v>0</v>
      </c>
      <c r="N423" s="718">
        <f>$D423*G423*L_CBac!$J$68</f>
        <v>0</v>
      </c>
      <c r="O423" s="718">
        <f>$D423*H423*L_CBac!$J$68</f>
        <v>0</v>
      </c>
      <c r="P423" s="718">
        <f>$D423*I423*L_CBac!$J$68</f>
        <v>0</v>
      </c>
    </row>
    <row r="424" spans="1:16" s="183" customFormat="1">
      <c r="A424" s="226" t="str">
        <f>L_CViec!A347</f>
        <v>9.1</v>
      </c>
      <c r="B424" s="227" t="str">
        <f>L_CViec!B347</f>
        <v>Trích lục trên bản đồ dạng số</v>
      </c>
      <c r="C424" s="226" t="str">
        <f>L_CViec!AD347</f>
        <v>Hồ sơ</v>
      </c>
      <c r="D424" s="226">
        <f>L_CViec!AC347</f>
        <v>1</v>
      </c>
      <c r="E424" s="226" t="str">
        <f>L_CViec!AE347</f>
        <v>1KS2</v>
      </c>
      <c r="F424" s="226" t="str">
        <f>L_CViec!AF347</f>
        <v>1-3</v>
      </c>
      <c r="G424" s="226">
        <f>L_CViec!AG347</f>
        <v>0.05</v>
      </c>
      <c r="H424" s="283">
        <f>L_CViec!AH347</f>
        <v>0</v>
      </c>
      <c r="I424" s="283">
        <f>L_CViec!AI347</f>
        <v>0.05</v>
      </c>
      <c r="J424" s="718">
        <f>L_CViec!AJ347</f>
        <v>320867.25</v>
      </c>
      <c r="K424" s="127">
        <f t="shared" si="68"/>
        <v>16043.362500000001</v>
      </c>
      <c r="L424" s="127">
        <f t="shared" si="69"/>
        <v>0</v>
      </c>
      <c r="M424" s="608">
        <f t="shared" si="70"/>
        <v>16043.362500000001</v>
      </c>
      <c r="N424" s="718">
        <f>$D424*G424*L_CBac!$J$68</f>
        <v>486.53846153846155</v>
      </c>
      <c r="O424" s="718">
        <f>$D424*H424*L_CBac!$J$68</f>
        <v>0</v>
      </c>
      <c r="P424" s="718">
        <f>$D424*I424*L_CBac!$J$68</f>
        <v>486.53846153846155</v>
      </c>
    </row>
    <row r="425" spans="1:16" s="183" customFormat="1">
      <c r="A425" s="226" t="str">
        <f>L_CViec!A348</f>
        <v>9.2</v>
      </c>
      <c r="B425" s="227" t="str">
        <f>L_CViec!B348</f>
        <v>Trích lục trên bản đồ dạng giấy</v>
      </c>
      <c r="C425" s="226" t="str">
        <f>L_CViec!AD348</f>
        <v>Hồ sơ</v>
      </c>
      <c r="D425" s="226">
        <f>L_CViec!AC348</f>
        <v>1</v>
      </c>
      <c r="E425" s="226" t="str">
        <f>L_CViec!AE348</f>
        <v>1KS2</v>
      </c>
      <c r="F425" s="226" t="str">
        <f>L_CViec!AF348</f>
        <v>1-3</v>
      </c>
      <c r="G425" s="226">
        <f>L_CViec!AG348</f>
        <v>0.1</v>
      </c>
      <c r="H425" s="283">
        <f>L_CViec!AH348</f>
        <v>0</v>
      </c>
      <c r="I425" s="283">
        <f>L_CViec!AI348</f>
        <v>0.1</v>
      </c>
      <c r="J425" s="718">
        <f>L_CViec!AJ348</f>
        <v>320867.25</v>
      </c>
      <c r="K425" s="127">
        <f t="shared" si="68"/>
        <v>32086.725000000002</v>
      </c>
      <c r="L425" s="127">
        <f t="shared" si="69"/>
        <v>0</v>
      </c>
      <c r="M425" s="127">
        <f t="shared" si="70"/>
        <v>32086.725000000002</v>
      </c>
      <c r="N425" s="718">
        <f>$D425*G425*L_CBac!$J$68</f>
        <v>973.07692307692309</v>
      </c>
      <c r="O425" s="718">
        <f>$D425*H425*L_CBac!$J$68</f>
        <v>0</v>
      </c>
      <c r="P425" s="718">
        <f>$D425*I425*L_CBac!$J$68</f>
        <v>973.07692307692309</v>
      </c>
    </row>
    <row r="426" spans="1:16" s="50" customFormat="1" ht="26">
      <c r="A426" s="226">
        <f>L_CViec!A349</f>
        <v>10</v>
      </c>
      <c r="B426" s="227" t="str">
        <f>L_CViec!B349</f>
        <v>Lập và gửi Phiếu chuyển thông tin để xác định nghĩa vụ tài chính về đất đai (nếu có)</v>
      </c>
      <c r="C426" s="226">
        <f>L_CViec!AD349</f>
        <v>0</v>
      </c>
      <c r="D426" s="226">
        <f>L_CViec!AC349</f>
        <v>0</v>
      </c>
      <c r="E426" s="226">
        <f>L_CViec!AE349</f>
        <v>0</v>
      </c>
      <c r="F426" s="226">
        <f>L_CViec!AF349</f>
        <v>0</v>
      </c>
      <c r="G426" s="226">
        <f>L_CViec!AG349</f>
        <v>0</v>
      </c>
      <c r="H426" s="283">
        <f>L_CViec!AH349</f>
        <v>0</v>
      </c>
      <c r="I426" s="283">
        <f>L_CViec!AI349</f>
        <v>0</v>
      </c>
      <c r="J426" s="718">
        <f>L_CViec!AJ349</f>
        <v>0</v>
      </c>
      <c r="K426" s="127">
        <f t="shared" si="68"/>
        <v>0</v>
      </c>
      <c r="L426" s="127">
        <f t="shared" si="69"/>
        <v>0</v>
      </c>
      <c r="M426" s="127">
        <f t="shared" si="70"/>
        <v>0</v>
      </c>
      <c r="N426" s="718">
        <f>$D426*G426*L_CBac!$J$68</f>
        <v>0</v>
      </c>
      <c r="O426" s="718">
        <f>$D426*H426*L_CBac!$J$68</f>
        <v>0</v>
      </c>
      <c r="P426" s="718">
        <f>$D426*I426*L_CBac!$J$68</f>
        <v>0</v>
      </c>
    </row>
    <row r="427" spans="1:16" s="50" customFormat="1">
      <c r="A427" s="226">
        <f>L_CViec!A350</f>
        <v>10.1</v>
      </c>
      <c r="B427" s="227" t="str">
        <f>L_CViec!B350</f>
        <v>Chuyển thông tin theo hình thức liên thông</v>
      </c>
      <c r="C427" s="226" t="str">
        <f>L_CViec!AD350</f>
        <v>Hồ sơ</v>
      </c>
      <c r="D427" s="226">
        <f>L_CViec!AC350</f>
        <v>1</v>
      </c>
      <c r="E427" s="226" t="str">
        <f>L_CViec!AE350</f>
        <v>1KS3</v>
      </c>
      <c r="F427" s="226" t="str">
        <f>L_CViec!AF350</f>
        <v>1-3</v>
      </c>
      <c r="G427" s="226">
        <f>L_CViec!AG350</f>
        <v>0.08</v>
      </c>
      <c r="H427" s="283">
        <f>L_CViec!AH350</f>
        <v>0.08</v>
      </c>
      <c r="I427" s="283">
        <f>L_CViec!AI350</f>
        <v>0.1</v>
      </c>
      <c r="J427" s="718">
        <f>L_CViec!AJ350</f>
        <v>360525</v>
      </c>
      <c r="K427" s="127">
        <f t="shared" si="68"/>
        <v>28842</v>
      </c>
      <c r="L427" s="127">
        <f t="shared" si="69"/>
        <v>28842</v>
      </c>
      <c r="M427" s="608">
        <f t="shared" si="70"/>
        <v>36052.5</v>
      </c>
      <c r="N427" s="718">
        <f>$D427*G427*L_CBac!$J$68</f>
        <v>778.46153846153845</v>
      </c>
      <c r="O427" s="718">
        <f>$D427*H427*L_CBac!$J$68</f>
        <v>778.46153846153845</v>
      </c>
      <c r="P427" s="718">
        <f>$D427*I427*L_CBac!$J$68</f>
        <v>973.07692307692309</v>
      </c>
    </row>
    <row r="428" spans="1:16" s="50" customFormat="1">
      <c r="A428" s="226">
        <f>L_CViec!A351</f>
        <v>10.199999999999999</v>
      </c>
      <c r="B428" s="227" t="str">
        <f>L_CViec!B351</f>
        <v>Chuyển thông tin theo hình thức trực tiếp</v>
      </c>
      <c r="C428" s="226" t="str">
        <f>L_CViec!AD351</f>
        <v>Hồ sơ</v>
      </c>
      <c r="D428" s="226">
        <f>L_CViec!AC351</f>
        <v>1</v>
      </c>
      <c r="E428" s="226" t="str">
        <f>L_CViec!AE351</f>
        <v>1KS3</v>
      </c>
      <c r="F428" s="226" t="str">
        <f>L_CViec!AF351</f>
        <v>1-3</v>
      </c>
      <c r="G428" s="226">
        <f>L_CViec!AG351</f>
        <v>0.1</v>
      </c>
      <c r="H428" s="283">
        <f>L_CViec!AH351</f>
        <v>0.1</v>
      </c>
      <c r="I428" s="283">
        <f>L_CViec!AI351</f>
        <v>0.15</v>
      </c>
      <c r="J428" s="718">
        <f>L_CViec!AJ351</f>
        <v>360525</v>
      </c>
      <c r="K428" s="127">
        <f t="shared" si="68"/>
        <v>36052.5</v>
      </c>
      <c r="L428" s="127">
        <f t="shared" si="69"/>
        <v>36052.5</v>
      </c>
      <c r="M428" s="127">
        <f t="shared" si="70"/>
        <v>54078.75</v>
      </c>
      <c r="N428" s="718">
        <f>$D428*G428*L_CBac!$J$68</f>
        <v>973.07692307692309</v>
      </c>
      <c r="O428" s="718">
        <f>$D428*H428*L_CBac!$J$68</f>
        <v>973.07692307692309</v>
      </c>
      <c r="P428" s="718">
        <f>$D428*I428*L_CBac!$J$68</f>
        <v>1459.6153846153845</v>
      </c>
    </row>
    <row r="429" spans="1:16" s="50" customFormat="1" ht="26">
      <c r="A429" s="226">
        <f>L_CViec!A352</f>
        <v>11</v>
      </c>
      <c r="B429" s="227" t="str">
        <f>L_CViec!B352</f>
        <v>Nhận thông báo của cơ quan thuế về việc hoàn thành nghĩa vụ tài chính</v>
      </c>
      <c r="C429" s="226">
        <f>L_CViec!AD352</f>
        <v>0</v>
      </c>
      <c r="D429" s="226">
        <f>L_CViec!AC352</f>
        <v>0</v>
      </c>
      <c r="E429" s="226">
        <f>L_CViec!AE352</f>
        <v>0</v>
      </c>
      <c r="F429" s="226">
        <f>L_CViec!AF352</f>
        <v>0</v>
      </c>
      <c r="G429" s="226">
        <f>L_CViec!AG352</f>
        <v>0</v>
      </c>
      <c r="H429" s="283">
        <f>L_CViec!AH352</f>
        <v>0</v>
      </c>
      <c r="I429" s="283">
        <f>L_CViec!AI352</f>
        <v>0</v>
      </c>
      <c r="J429" s="718">
        <f>L_CViec!AJ352</f>
        <v>0</v>
      </c>
      <c r="K429" s="127">
        <f t="shared" si="68"/>
        <v>0</v>
      </c>
      <c r="L429" s="127">
        <f t="shared" si="69"/>
        <v>0</v>
      </c>
      <c r="M429" s="127">
        <f t="shared" si="70"/>
        <v>0</v>
      </c>
      <c r="N429" s="718">
        <f>$D429*G429*L_CBac!$J$68</f>
        <v>0</v>
      </c>
      <c r="O429" s="718">
        <f>$D429*H429*L_CBac!$J$68</f>
        <v>0</v>
      </c>
      <c r="P429" s="718">
        <f>$D429*I429*L_CBac!$J$68</f>
        <v>0</v>
      </c>
    </row>
    <row r="430" spans="1:16" s="50" customFormat="1" ht="27.75" customHeight="1">
      <c r="A430" s="226">
        <f>L_CViec!A353</f>
        <v>11.1</v>
      </c>
      <c r="B430" s="227" t="str">
        <f>L_CViec!B353</f>
        <v>Chuyển thông tin theo hình thức liên thông</v>
      </c>
      <c r="C430" s="226" t="str">
        <f>L_CViec!AD353</f>
        <v>Hồ sơ</v>
      </c>
      <c r="D430" s="226">
        <f>L_CViec!AC353</f>
        <v>1</v>
      </c>
      <c r="E430" s="226" t="str">
        <f>L_CViec!AE353</f>
        <v>1KS2</v>
      </c>
      <c r="F430" s="226" t="str">
        <f>L_CViec!AF353</f>
        <v>1-3</v>
      </c>
      <c r="G430" s="226">
        <f>L_CViec!AG353</f>
        <v>0.04</v>
      </c>
      <c r="H430" s="283">
        <f>L_CViec!AH353</f>
        <v>0.04</v>
      </c>
      <c r="I430" s="283">
        <f>L_CViec!AI353</f>
        <v>0.04</v>
      </c>
      <c r="J430" s="718">
        <f>L_CViec!AJ353</f>
        <v>320867.25</v>
      </c>
      <c r="K430" s="127">
        <f t="shared" si="68"/>
        <v>12834.69</v>
      </c>
      <c r="L430" s="127">
        <f t="shared" si="69"/>
        <v>12834.69</v>
      </c>
      <c r="M430" s="608">
        <f t="shared" si="70"/>
        <v>12834.69</v>
      </c>
      <c r="N430" s="718">
        <f>$D430*G430*L_CBac!$J$68</f>
        <v>389.23076923076923</v>
      </c>
      <c r="O430" s="718">
        <f>$D430*H430*L_CBac!$J$68</f>
        <v>389.23076923076923</v>
      </c>
      <c r="P430" s="718">
        <f>$D430*I430*L_CBac!$J$68</f>
        <v>389.23076923076923</v>
      </c>
    </row>
    <row r="431" spans="1:16" s="50" customFormat="1">
      <c r="A431" s="226">
        <f>L_CViec!A354</f>
        <v>11.2</v>
      </c>
      <c r="B431" s="227" t="str">
        <f>L_CViec!B354</f>
        <v>Chuyển thông tin theo hình thức trực tiếp</v>
      </c>
      <c r="C431" s="226" t="str">
        <f>L_CViec!AD354</f>
        <v>Hồ sơ</v>
      </c>
      <c r="D431" s="226">
        <f>L_CViec!AC354</f>
        <v>1</v>
      </c>
      <c r="E431" s="226" t="str">
        <f>L_CViec!AE354</f>
        <v>1KS2</v>
      </c>
      <c r="F431" s="226" t="str">
        <f>L_CViec!AF354</f>
        <v>1-3</v>
      </c>
      <c r="G431" s="226">
        <f>L_CViec!AG354</f>
        <v>0.03</v>
      </c>
      <c r="H431" s="283">
        <f>L_CViec!AH354</f>
        <v>0.03</v>
      </c>
      <c r="I431" s="283">
        <f>L_CViec!AI354</f>
        <v>0.03</v>
      </c>
      <c r="J431" s="718">
        <f>L_CViec!AJ354</f>
        <v>320867.25</v>
      </c>
      <c r="K431" s="127">
        <f t="shared" si="68"/>
        <v>9626.0174999999999</v>
      </c>
      <c r="L431" s="127">
        <f t="shared" si="69"/>
        <v>9626.0174999999999</v>
      </c>
      <c r="M431" s="127">
        <f t="shared" si="70"/>
        <v>9626.0174999999999</v>
      </c>
      <c r="N431" s="718">
        <f>$D431*G431*L_CBac!$J$68</f>
        <v>291.92307692307691</v>
      </c>
      <c r="O431" s="718">
        <f>$D431*H431*L_CBac!$J$68</f>
        <v>291.92307692307691</v>
      </c>
      <c r="P431" s="718">
        <f>$D431*I431*L_CBac!$J$68</f>
        <v>291.92307692307691</v>
      </c>
    </row>
    <row r="432" spans="1:16" s="50" customFormat="1" ht="26">
      <c r="A432" s="226" t="str">
        <f>L_CViec!A355</f>
        <v>12</v>
      </c>
      <c r="B432" s="227" t="str">
        <f>L_CViec!B355</f>
        <v>Nhập thông tin thửa đất, tài sản gắn liền với đất, đăng ký vào hồ sơ địa chính</v>
      </c>
      <c r="C432" s="226" t="str">
        <f>L_CViec!AD355</f>
        <v>Thửa</v>
      </c>
      <c r="D432" s="226">
        <f>L_CViec!AC355</f>
        <v>1</v>
      </c>
      <c r="E432" s="226" t="str">
        <f>L_CViec!AE355</f>
        <v>1KS3</v>
      </c>
      <c r="F432" s="226" t="str">
        <f>L_CViec!AF355</f>
        <v>1-3</v>
      </c>
      <c r="G432" s="226">
        <f>L_CViec!AG355</f>
        <v>0.107</v>
      </c>
      <c r="H432" s="283">
        <f>L_CViec!AH355</f>
        <v>3.3000000000000002E-2</v>
      </c>
      <c r="I432" s="283">
        <f>L_CViec!AI355</f>
        <v>0.16700000000000001</v>
      </c>
      <c r="J432" s="718">
        <f>L_CViec!AJ355</f>
        <v>360525</v>
      </c>
      <c r="K432" s="127">
        <f t="shared" si="68"/>
        <v>38576.174999999996</v>
      </c>
      <c r="L432" s="127">
        <f t="shared" si="69"/>
        <v>11897.325000000001</v>
      </c>
      <c r="M432" s="127">
        <f t="shared" si="70"/>
        <v>60207.675000000003</v>
      </c>
      <c r="N432" s="718">
        <f>$D432*G432*L_CBac!$J$68</f>
        <v>1041.1923076923076</v>
      </c>
      <c r="O432" s="718">
        <f>$D432*H432*L_CBac!$J$68</f>
        <v>321.11538461538464</v>
      </c>
      <c r="P432" s="718">
        <f>$D432*I432*L_CBac!$J$68</f>
        <v>1625.0384615384617</v>
      </c>
    </row>
    <row r="433" spans="1:16" s="50" customFormat="1">
      <c r="A433" s="226" t="str">
        <f>L_CViec!A356</f>
        <v>13</v>
      </c>
      <c r="B433" s="227" t="str">
        <f>L_CViec!B356</f>
        <v>In GCN</v>
      </c>
      <c r="C433" s="226">
        <f>L_CViec!AD356</f>
        <v>0</v>
      </c>
      <c r="D433" s="226">
        <f>L_CViec!AC356</f>
        <v>0</v>
      </c>
      <c r="E433" s="226">
        <f>L_CViec!AE356</f>
        <v>0</v>
      </c>
      <c r="F433" s="226">
        <f>L_CViec!AF356</f>
        <v>0</v>
      </c>
      <c r="G433" s="226">
        <f>L_CViec!AG356</f>
        <v>0</v>
      </c>
      <c r="H433" s="283">
        <f>L_CViec!AH356</f>
        <v>0</v>
      </c>
      <c r="I433" s="283">
        <f>L_CViec!AI356</f>
        <v>0</v>
      </c>
      <c r="J433" s="718">
        <f>L_CViec!AJ356</f>
        <v>0</v>
      </c>
      <c r="K433" s="127">
        <f t="shared" si="68"/>
        <v>0</v>
      </c>
      <c r="L433" s="127">
        <f t="shared" si="69"/>
        <v>0</v>
      </c>
      <c r="M433" s="127">
        <f t="shared" si="70"/>
        <v>0</v>
      </c>
      <c r="N433" s="718">
        <f>$D433*G433*L_CBac!$J$68</f>
        <v>0</v>
      </c>
      <c r="O433" s="718">
        <f>$D433*H433*L_CBac!$J$68</f>
        <v>0</v>
      </c>
      <c r="P433" s="718">
        <f>$D433*I433*L_CBac!$J$68</f>
        <v>0</v>
      </c>
    </row>
    <row r="434" spans="1:16" s="50" customFormat="1">
      <c r="A434" s="226" t="str">
        <f>L_CViec!A357</f>
        <v>13.1</v>
      </c>
      <c r="B434" s="227" t="str">
        <f>L_CViec!B357</f>
        <v>Trực tiếp từ cơ sở dữ liệu dạng số</v>
      </c>
      <c r="C434" s="226" t="str">
        <f>L_CViec!AD357</f>
        <v>GCN</v>
      </c>
      <c r="D434" s="226">
        <f>L_CViec!AC357</f>
        <v>1</v>
      </c>
      <c r="E434" s="226" t="str">
        <f>L_CViec!AE357</f>
        <v>1KS2</v>
      </c>
      <c r="F434" s="226" t="str">
        <f>L_CViec!AF357</f>
        <v>1-3</v>
      </c>
      <c r="G434" s="226">
        <f>L_CViec!AG357</f>
        <v>0.1</v>
      </c>
      <c r="H434" s="283">
        <f>L_CViec!AH357</f>
        <v>0.1</v>
      </c>
      <c r="I434" s="283">
        <f>L_CViec!AI357</f>
        <v>0.1</v>
      </c>
      <c r="J434" s="718">
        <f>L_CViec!AJ357</f>
        <v>320867.25</v>
      </c>
      <c r="K434" s="127">
        <f t="shared" si="68"/>
        <v>32086.725000000002</v>
      </c>
      <c r="L434" s="127">
        <f t="shared" si="69"/>
        <v>32086.725000000002</v>
      </c>
      <c r="M434" s="608">
        <f t="shared" si="70"/>
        <v>32086.725000000002</v>
      </c>
      <c r="N434" s="718">
        <f>$D434*G434*L_CBac!$J$68</f>
        <v>973.07692307692309</v>
      </c>
      <c r="O434" s="718">
        <f>$D434*H434*L_CBac!$J$68</f>
        <v>973.07692307692309</v>
      </c>
      <c r="P434" s="718">
        <f>$D434*I434*L_CBac!$J$68</f>
        <v>973.07692307692309</v>
      </c>
    </row>
    <row r="435" spans="1:16" s="50" customFormat="1">
      <c r="A435" s="226" t="str">
        <f>L_CViec!A358</f>
        <v>13.2</v>
      </c>
      <c r="B435" s="227" t="str">
        <f>L_CViec!B358</f>
        <v>Đối với những nơi chưa có bản đồ dạng số</v>
      </c>
      <c r="C435" s="226" t="str">
        <f>L_CViec!AD358</f>
        <v>GCN</v>
      </c>
      <c r="D435" s="226">
        <f>L_CViec!AC358</f>
        <v>1</v>
      </c>
      <c r="E435" s="226" t="str">
        <f>L_CViec!AE358</f>
        <v>1KS2</v>
      </c>
      <c r="F435" s="226" t="str">
        <f>L_CViec!AF358</f>
        <v>1-3</v>
      </c>
      <c r="G435" s="226">
        <f>L_CViec!AG358</f>
        <v>0.15</v>
      </c>
      <c r="H435" s="283">
        <f>L_CViec!AH358</f>
        <v>0.2</v>
      </c>
      <c r="I435" s="283">
        <f>L_CViec!AI358</f>
        <v>0.2</v>
      </c>
      <c r="J435" s="718">
        <f>L_CViec!AJ358</f>
        <v>320867.25</v>
      </c>
      <c r="K435" s="127">
        <f t="shared" si="68"/>
        <v>48130.087500000001</v>
      </c>
      <c r="L435" s="127">
        <f t="shared" si="69"/>
        <v>64173.450000000004</v>
      </c>
      <c r="M435" s="127">
        <f t="shared" si="70"/>
        <v>64173.450000000004</v>
      </c>
      <c r="N435" s="718">
        <f>$D435*G435*L_CBac!$J$68</f>
        <v>1459.6153846153845</v>
      </c>
      <c r="O435" s="718">
        <f>$D435*H435*L_CBac!$J$68</f>
        <v>1946.1538461538462</v>
      </c>
      <c r="P435" s="718">
        <f>$D435*I435*L_CBac!$J$68</f>
        <v>1946.1538461538462</v>
      </c>
    </row>
    <row r="436" spans="1:16" s="50" customFormat="1" ht="33.4" customHeight="1">
      <c r="A436" s="226" t="str">
        <f>L_CViec!A359</f>
        <v>14</v>
      </c>
      <c r="B436" s="227" t="str">
        <f>L_CViec!B359</f>
        <v>Trích sao số liệu địa chính, quyết định hủy GCN bị mất, cấp đổi, cấp lại GCN, lập sổ theo dõi hồ sơ</v>
      </c>
      <c r="C436" s="226" t="str">
        <f>L_CViec!AD359</f>
        <v>Hồ sơ</v>
      </c>
      <c r="D436" s="226">
        <f>L_CViec!AC359</f>
        <v>1</v>
      </c>
      <c r="E436" s="226" t="str">
        <f>L_CViec!AE359</f>
        <v>1KS3</v>
      </c>
      <c r="F436" s="226" t="str">
        <f>L_CViec!AF359</f>
        <v>1-3</v>
      </c>
      <c r="G436" s="226">
        <f>L_CViec!AG359</f>
        <v>0.5</v>
      </c>
      <c r="H436" s="283">
        <f>L_CViec!AH359</f>
        <v>0.5</v>
      </c>
      <c r="I436" s="283">
        <f>L_CViec!AI359</f>
        <v>0.65</v>
      </c>
      <c r="J436" s="718">
        <f>L_CViec!AJ359</f>
        <v>360525</v>
      </c>
      <c r="K436" s="127">
        <f t="shared" si="68"/>
        <v>180262.5</v>
      </c>
      <c r="L436" s="127">
        <f t="shared" si="69"/>
        <v>180262.5</v>
      </c>
      <c r="M436" s="608">
        <f t="shared" si="70"/>
        <v>234341.25</v>
      </c>
      <c r="N436" s="718">
        <f>$D436*G436*L_CBac!$J$68</f>
        <v>4865.3846153846152</v>
      </c>
      <c r="O436" s="718">
        <f>$D436*H436*L_CBac!$J$68</f>
        <v>4865.3846153846152</v>
      </c>
      <c r="P436" s="718">
        <f>$D436*I436*L_CBac!$J$68</f>
        <v>6325</v>
      </c>
    </row>
    <row r="437" spans="1:16" s="50" customFormat="1" ht="26">
      <c r="A437" s="226" t="str">
        <f>L_CViec!A360</f>
        <v>15</v>
      </c>
      <c r="B437" s="227" t="str">
        <f>L_CViec!B360</f>
        <v>Cập nhật chỉnh lý HSĐC, thu phí, lệ phí, nộp kho bạc; gửi thông báo biến động cho cấp xã,phường,</v>
      </c>
      <c r="C437" s="226" t="str">
        <f>L_CViec!AD360</f>
        <v>Hồ sơ</v>
      </c>
      <c r="D437" s="226">
        <f>L_CViec!AC360</f>
        <v>1</v>
      </c>
      <c r="E437" s="226" t="str">
        <f>L_CViec!AE360</f>
        <v>1KS3</v>
      </c>
      <c r="F437" s="226" t="str">
        <f>L_CViec!AF360</f>
        <v>1-3</v>
      </c>
      <c r="G437" s="226">
        <f>L_CViec!AG360</f>
        <v>0.47</v>
      </c>
      <c r="H437" s="283">
        <f>L_CViec!AH360</f>
        <v>0.47</v>
      </c>
      <c r="I437" s="283">
        <f>L_CViec!AI360</f>
        <v>0.61099999999999999</v>
      </c>
      <c r="J437" s="718">
        <f>L_CViec!AJ360</f>
        <v>360525</v>
      </c>
      <c r="K437" s="127">
        <f t="shared" si="68"/>
        <v>169446.75</v>
      </c>
      <c r="L437" s="127">
        <f t="shared" si="69"/>
        <v>169446.75</v>
      </c>
      <c r="M437" s="608">
        <f t="shared" si="70"/>
        <v>220280.77499999999</v>
      </c>
      <c r="N437" s="718">
        <f>$D437*G437*L_CBac!$J$68</f>
        <v>4573.4615384615381</v>
      </c>
      <c r="O437" s="718">
        <f>$D437*H437*L_CBac!$J$68</f>
        <v>4573.4615384615381</v>
      </c>
      <c r="P437" s="718">
        <f>$D437*I437*L_CBac!$J$68</f>
        <v>5945.5</v>
      </c>
    </row>
    <row r="438" spans="1:16" s="50" customFormat="1" ht="26">
      <c r="A438" s="226" t="str">
        <f>L_CViec!A361</f>
        <v>16</v>
      </c>
      <c r="B438" s="227" t="str">
        <f>L_CViec!B361</f>
        <v>Quét giấy tờ pháp lý về quyền sử dụng đất, quyền sở hữu nhà ở và tài sản khác gắn liền với đất</v>
      </c>
      <c r="C438" s="226">
        <f>L_CViec!AD361</f>
        <v>0</v>
      </c>
      <c r="D438" s="226">
        <f>L_CViec!AC361</f>
        <v>0</v>
      </c>
      <c r="E438" s="226">
        <f>L_CViec!AE361</f>
        <v>0</v>
      </c>
      <c r="F438" s="226">
        <f>L_CViec!AF361</f>
        <v>0</v>
      </c>
      <c r="G438" s="226">
        <f>L_CViec!AG361</f>
        <v>0</v>
      </c>
      <c r="H438" s="283">
        <f>L_CViec!AH361</f>
        <v>0</v>
      </c>
      <c r="I438" s="283">
        <f>L_CViec!AI361</f>
        <v>0</v>
      </c>
      <c r="J438" s="718">
        <f>L_CViec!AJ361</f>
        <v>0</v>
      </c>
      <c r="K438" s="127">
        <f t="shared" si="68"/>
        <v>0</v>
      </c>
      <c r="L438" s="127">
        <f t="shared" si="69"/>
        <v>0</v>
      </c>
      <c r="M438" s="127">
        <f t="shared" si="70"/>
        <v>0</v>
      </c>
      <c r="N438" s="718">
        <f>$D438*G438*L_CBac!$J$68</f>
        <v>0</v>
      </c>
      <c r="O438" s="718">
        <f>$D438*H438*L_CBac!$J$68</f>
        <v>0</v>
      </c>
      <c r="P438" s="718">
        <f>$D438*I438*L_CBac!$J$68</f>
        <v>0</v>
      </c>
    </row>
    <row r="439" spans="1:16" s="50" customFormat="1">
      <c r="A439" s="226" t="str">
        <f>L_CViec!A362</f>
        <v>16.1</v>
      </c>
      <c r="B439" s="227" t="str">
        <f>L_CViec!B362</f>
        <v>Quét trang A3</v>
      </c>
      <c r="C439" s="226" t="str">
        <f>L_CViec!AD362</f>
        <v>Trang</v>
      </c>
      <c r="D439" s="226">
        <f>L_CViec!AC362</f>
        <v>1</v>
      </c>
      <c r="E439" s="226" t="str">
        <f>L_CViec!AE362</f>
        <v>1KS1</v>
      </c>
      <c r="F439" s="226" t="str">
        <f>L_CViec!AF362</f>
        <v>1-3</v>
      </c>
      <c r="G439" s="226">
        <f>L_CViec!AG362</f>
        <v>1.6E-2</v>
      </c>
      <c r="H439" s="283">
        <f>L_CViec!AH362</f>
        <v>1.6E-2</v>
      </c>
      <c r="I439" s="283">
        <f>L_CViec!AI362</f>
        <v>1.6E-2</v>
      </c>
      <c r="J439" s="718">
        <f>L_CViec!AJ362</f>
        <v>281209.5</v>
      </c>
      <c r="K439" s="127">
        <f t="shared" si="68"/>
        <v>4499.3519999999999</v>
      </c>
      <c r="L439" s="127">
        <f t="shared" si="69"/>
        <v>4499.3519999999999</v>
      </c>
      <c r="M439" s="127">
        <f t="shared" si="70"/>
        <v>4499.3519999999999</v>
      </c>
      <c r="N439" s="718">
        <f>$D439*G439*L_CBac!$J$68</f>
        <v>155.69230769230768</v>
      </c>
      <c r="O439" s="718">
        <f>$D439*H439*L_CBac!$J$68</f>
        <v>155.69230769230768</v>
      </c>
      <c r="P439" s="718">
        <f>$D439*I439*L_CBac!$J$68</f>
        <v>155.69230769230768</v>
      </c>
    </row>
    <row r="440" spans="1:16" s="50" customFormat="1">
      <c r="A440" s="226" t="str">
        <f>L_CViec!A363</f>
        <v>16.2</v>
      </c>
      <c r="B440" s="227" t="str">
        <f>L_CViec!B363</f>
        <v>Quét trang A4</v>
      </c>
      <c r="C440" s="226" t="str">
        <f>L_CViec!AD363</f>
        <v>Trang</v>
      </c>
      <c r="D440" s="226">
        <f>L_CViec!AC363</f>
        <v>1</v>
      </c>
      <c r="E440" s="226" t="str">
        <f>L_CViec!AE363</f>
        <v>1KS1</v>
      </c>
      <c r="F440" s="226" t="str">
        <f>L_CViec!AF363</f>
        <v>1-3</v>
      </c>
      <c r="G440" s="226">
        <f>L_CViec!AG363</f>
        <v>8.0000000000000002E-3</v>
      </c>
      <c r="H440" s="283">
        <f>L_CViec!AH363</f>
        <v>8.0000000000000002E-3</v>
      </c>
      <c r="I440" s="283">
        <f>L_CViec!AI363</f>
        <v>8.0000000000000002E-3</v>
      </c>
      <c r="J440" s="718">
        <f>L_CViec!AJ363</f>
        <v>281209.5</v>
      </c>
      <c r="K440" s="127">
        <f t="shared" si="68"/>
        <v>2249.6759999999999</v>
      </c>
      <c r="L440" s="127">
        <f t="shared" si="69"/>
        <v>2249.6759999999999</v>
      </c>
      <c r="M440" s="127">
        <f t="shared" si="70"/>
        <v>2249.6759999999999</v>
      </c>
      <c r="N440" s="718">
        <f>$D440*G440*L_CBac!$J$68</f>
        <v>77.84615384615384</v>
      </c>
      <c r="O440" s="718">
        <f>$D440*H440*L_CBac!$J$68</f>
        <v>77.84615384615384</v>
      </c>
      <c r="P440" s="718">
        <f>$D440*I440*L_CBac!$J$68</f>
        <v>77.84615384615384</v>
      </c>
    </row>
    <row r="441" spans="1:16" s="50" customFormat="1" ht="26">
      <c r="A441" s="226" t="str">
        <f>L_CViec!A364</f>
        <v>17</v>
      </c>
      <c r="B441" s="227" t="str">
        <f>L_CViec!B364</f>
        <v>Xử lý các tệp tin quét thành tệp (File) hồ sơ quét dạng số của thửa đất, lưu trữ dưới khuôn dạng tệp tin PDF</v>
      </c>
      <c r="C441" s="226" t="str">
        <f>L_CViec!AD364</f>
        <v>Trang</v>
      </c>
      <c r="D441" s="226">
        <f>L_CViec!AC364</f>
        <v>1</v>
      </c>
      <c r="E441" s="226" t="str">
        <f>L_CViec!AE364</f>
        <v>1KS1</v>
      </c>
      <c r="F441" s="226" t="str">
        <f>L_CViec!AF364</f>
        <v>1-3</v>
      </c>
      <c r="G441" s="226">
        <f>L_CViec!AG364</f>
        <v>4.0000000000000001E-3</v>
      </c>
      <c r="H441" s="283">
        <f>L_CViec!AH364</f>
        <v>4.0000000000000001E-3</v>
      </c>
      <c r="I441" s="283">
        <f>L_CViec!AI364</f>
        <v>4.0000000000000001E-3</v>
      </c>
      <c r="J441" s="718">
        <f>L_CViec!AJ364</f>
        <v>281209.5</v>
      </c>
      <c r="K441" s="127">
        <f t="shared" si="68"/>
        <v>1124.838</v>
      </c>
      <c r="L441" s="127">
        <f t="shared" si="69"/>
        <v>1124.838</v>
      </c>
      <c r="M441" s="127">
        <f t="shared" si="70"/>
        <v>1124.838</v>
      </c>
      <c r="N441" s="718">
        <f>$D441*G441*L_CBac!$J$68</f>
        <v>38.92307692307692</v>
      </c>
      <c r="O441" s="718">
        <f>$D441*H441*L_CBac!$J$68</f>
        <v>38.92307692307692</v>
      </c>
      <c r="P441" s="718">
        <f>$D441*I441*L_CBac!$J$68</f>
        <v>38.92307692307692</v>
      </c>
    </row>
    <row r="442" spans="1:16" s="50" customFormat="1" ht="26">
      <c r="A442" s="226" t="str">
        <f>L_CViec!A365</f>
        <v>18</v>
      </c>
      <c r="B442" s="227" t="str">
        <f>L_CViec!B365</f>
        <v>Tạo liên kết hồ sơ quét dạng số với thửa đất trong cơ sở dữ liệu</v>
      </c>
      <c r="C442" s="226" t="str">
        <f>L_CViec!AD365</f>
        <v>Thửa</v>
      </c>
      <c r="D442" s="226">
        <f>L_CViec!AC365</f>
        <v>1</v>
      </c>
      <c r="E442" s="226" t="str">
        <f>L_CViec!AE365</f>
        <v>1KS1</v>
      </c>
      <c r="F442" s="226" t="str">
        <f>L_CViec!AF365</f>
        <v>1-3</v>
      </c>
      <c r="G442" s="226">
        <f>L_CViec!AG365</f>
        <v>0.01</v>
      </c>
      <c r="H442" s="283">
        <f>L_CViec!AH365</f>
        <v>0.01</v>
      </c>
      <c r="I442" s="283">
        <f>L_CViec!AI365</f>
        <v>0.01</v>
      </c>
      <c r="J442" s="718">
        <f>L_CViec!AJ365</f>
        <v>281209.5</v>
      </c>
      <c r="K442" s="127">
        <f t="shared" si="68"/>
        <v>2812.0950000000003</v>
      </c>
      <c r="L442" s="127">
        <f t="shared" si="69"/>
        <v>2812.0950000000003</v>
      </c>
      <c r="M442" s="127">
        <f t="shared" si="70"/>
        <v>2812.0950000000003</v>
      </c>
      <c r="N442" s="718">
        <f>$D442*G442*L_CBac!$J$68</f>
        <v>97.307692307692307</v>
      </c>
      <c r="O442" s="718">
        <f>$D442*H442*L_CBac!$J$68</f>
        <v>97.307692307692307</v>
      </c>
      <c r="P442" s="718">
        <f>$D442*I442*L_CBac!$J$68</f>
        <v>97.307692307692307</v>
      </c>
    </row>
    <row r="443" spans="1:16" s="50" customFormat="1" ht="52">
      <c r="A443" s="226" t="str">
        <f>L_CViec!A366</f>
        <v>19</v>
      </c>
      <c r="B443" s="227" t="str">
        <f>L_CViec!B366</f>
        <v>Thông báo danh sách các trường hợp làm thủ tục cấp đổi GCN cho bên nhận thế chấp quyền sử dụng đất, tài sản gắn liền với đất; xác nhận việc đăng ký thế chấp vào GCN sau khi được cơ quan có thẩm quyền ký cấp đổi</v>
      </c>
      <c r="C443" s="226" t="str">
        <f>L_CViec!AD366</f>
        <v>Hồ sơ</v>
      </c>
      <c r="D443" s="226">
        <f>L_CViec!AC366</f>
        <v>1</v>
      </c>
      <c r="E443" s="226" t="str">
        <f>L_CViec!AE366</f>
        <v>1KS2</v>
      </c>
      <c r="F443" s="226" t="str">
        <f>L_CViec!AF366</f>
        <v>1-3</v>
      </c>
      <c r="G443" s="226">
        <f>L_CViec!AG366</f>
        <v>0.05</v>
      </c>
      <c r="H443" s="283">
        <f>L_CViec!AH366</f>
        <v>0.05</v>
      </c>
      <c r="I443" s="283">
        <f>L_CViec!AI366</f>
        <v>6.5000000000000002E-2</v>
      </c>
      <c r="J443" s="718">
        <f>L_CViec!AJ366</f>
        <v>320867.25</v>
      </c>
      <c r="K443" s="127">
        <f t="shared" si="68"/>
        <v>16043.362500000001</v>
      </c>
      <c r="L443" s="127">
        <f t="shared" si="69"/>
        <v>16043.362500000001</v>
      </c>
      <c r="M443" s="608">
        <f t="shared" si="70"/>
        <v>20856.37125</v>
      </c>
      <c r="N443" s="718">
        <f>$D443*G443*L_CBac!$J$68</f>
        <v>486.53846153846155</v>
      </c>
      <c r="O443" s="718">
        <f>$D443*H443*L_CBac!$J$68</f>
        <v>486.53846153846155</v>
      </c>
      <c r="P443" s="718">
        <f>$D443*I443*L_CBac!$J$68</f>
        <v>632.5</v>
      </c>
    </row>
    <row r="444" spans="1:16" s="50" customFormat="1" ht="65">
      <c r="A444" s="226" t="str">
        <f>L_CViec!A367</f>
        <v>20</v>
      </c>
      <c r="B444" s="227" t="str">
        <f>L_CViec!B367</f>
        <v>Chuyển Giấy chứng nhận đến Bộ phận một cửa để trao cho người sử dụng đất hoặc chuyển Giấy chứng nhận cho người sử dụng đất thông qua dịch vụ bưu chính công ích hoặc Văn phòng đăng ký đất đai nhận lại GCN cũ đang thế chấp từ tổ chức tín dụng và trao GCN mới</v>
      </c>
      <c r="C444" s="226" t="str">
        <f>L_CViec!AD367</f>
        <v>Hồ sơ</v>
      </c>
      <c r="D444" s="226">
        <f>L_CViec!AC367</f>
        <v>1</v>
      </c>
      <c r="E444" s="226" t="str">
        <f>L_CViec!AE367</f>
        <v>1KS2</v>
      </c>
      <c r="F444" s="226" t="str">
        <f>L_CViec!AF367</f>
        <v>1-3</v>
      </c>
      <c r="G444" s="226">
        <f>L_CViec!AG367</f>
        <v>0.05</v>
      </c>
      <c r="H444" s="283">
        <f>L_CViec!AH367</f>
        <v>0.05</v>
      </c>
      <c r="I444" s="283">
        <f>L_CViec!AI367</f>
        <v>6.5000000000000002E-2</v>
      </c>
      <c r="J444" s="718">
        <f>L_CViec!AJ367</f>
        <v>320867.25</v>
      </c>
      <c r="K444" s="127">
        <f t="shared" si="68"/>
        <v>16043.362500000001</v>
      </c>
      <c r="L444" s="127">
        <f t="shared" si="69"/>
        <v>16043.362500000001</v>
      </c>
      <c r="M444" s="608">
        <f t="shared" si="70"/>
        <v>20856.37125</v>
      </c>
      <c r="N444" s="718">
        <f>$D444*G444*L_CBac!$J$68</f>
        <v>486.53846153846155</v>
      </c>
      <c r="O444" s="718">
        <f>$D444*H444*L_CBac!$J$68</f>
        <v>486.53846153846155</v>
      </c>
      <c r="P444" s="718">
        <f>$D444*I444*L_CBac!$J$68</f>
        <v>632.5</v>
      </c>
    </row>
    <row r="445" spans="1:16" s="50" customFormat="1" ht="32.25" customHeight="1">
      <c r="A445" s="223" t="str">
        <f>L_CViec!A368</f>
        <v>VI.2</v>
      </c>
      <c r="B445" s="408" t="str">
        <f>L_CViec!B368</f>
        <v>CÁC NỘI DUNG THỰC HIỆN TẠI ĐỊA BÀN XÃ, PHƯỜNG, ĐẶC KHU</v>
      </c>
      <c r="C445" s="408">
        <f>L_CViec!AD368</f>
        <v>0</v>
      </c>
      <c r="D445" s="408">
        <f>L_CViec!AC368</f>
        <v>0</v>
      </c>
      <c r="E445" s="408">
        <f>L_CViec!AE368</f>
        <v>0</v>
      </c>
      <c r="F445" s="408">
        <f>L_CViec!AF368</f>
        <v>0</v>
      </c>
      <c r="G445" s="408">
        <f>L_CViec!AG368</f>
        <v>0</v>
      </c>
      <c r="H445" s="481">
        <f>L_CViec!AH368</f>
        <v>0</v>
      </c>
      <c r="I445" s="481">
        <f>L_CViec!AI368</f>
        <v>0</v>
      </c>
      <c r="J445" s="718">
        <f>L_CViec!AJ368</f>
        <v>0</v>
      </c>
      <c r="K445" s="475">
        <f>K446</f>
        <v>6417.3450000000003</v>
      </c>
      <c r="L445" s="475">
        <f t="shared" ref="L445:P445" si="71">L446</f>
        <v>6417.3450000000003</v>
      </c>
      <c r="M445" s="623">
        <f t="shared" si="71"/>
        <v>8342.548499999999</v>
      </c>
      <c r="N445" s="707">
        <f t="shared" si="71"/>
        <v>194.61538461538461</v>
      </c>
      <c r="O445" s="707">
        <f t="shared" si="71"/>
        <v>194.61538461538461</v>
      </c>
      <c r="P445" s="707">
        <f t="shared" si="71"/>
        <v>252.99999999999997</v>
      </c>
    </row>
    <row r="446" spans="1:16" s="50" customFormat="1" ht="30" customHeight="1">
      <c r="A446" s="226" t="str">
        <f>L_CViec!A369</f>
        <v>1</v>
      </c>
      <c r="B446" s="227" t="str">
        <f>L_CViec!B369</f>
        <v>UBND xã, phường, đặc khu nhận thông báo biến động, chỉnh lý vào HSĐC</v>
      </c>
      <c r="C446" s="226" t="str">
        <f>L_CViec!AD369</f>
        <v>Hồ sơ</v>
      </c>
      <c r="D446" s="226">
        <f>L_CViec!AC369</f>
        <v>1</v>
      </c>
      <c r="E446" s="226" t="str">
        <f>L_CViec!AE369</f>
        <v>1KS2</v>
      </c>
      <c r="F446" s="226" t="str">
        <f>L_CViec!AF369</f>
        <v>1-3</v>
      </c>
      <c r="G446" s="226">
        <f>L_CViec!AG369</f>
        <v>0.02</v>
      </c>
      <c r="H446" s="283">
        <f>L_CViec!AH369</f>
        <v>0.02</v>
      </c>
      <c r="I446" s="283">
        <f>L_CViec!AI369</f>
        <v>2.5999999999999999E-2</v>
      </c>
      <c r="J446" s="718">
        <f>L_CViec!AJ369</f>
        <v>320867.25</v>
      </c>
      <c r="K446" s="127">
        <f>G446*$J446</f>
        <v>6417.3450000000003</v>
      </c>
      <c r="L446" s="127">
        <f>H446*$J446</f>
        <v>6417.3450000000003</v>
      </c>
      <c r="M446" s="127">
        <f>I446*$J446</f>
        <v>8342.548499999999</v>
      </c>
      <c r="N446" s="718">
        <f>$D446*G446*L_CBac!$J$68</f>
        <v>194.61538461538461</v>
      </c>
      <c r="O446" s="718">
        <f>$D446*H446*L_CBac!$J$68</f>
        <v>194.61538461538461</v>
      </c>
      <c r="P446" s="718">
        <f>$D446*I446*L_CBac!$J$68</f>
        <v>252.99999999999997</v>
      </c>
    </row>
    <row r="447" spans="1:16" s="50" customFormat="1">
      <c r="A447" s="48" t="str">
        <f>L_CViec!A370</f>
        <v>VI.3</v>
      </c>
      <c r="B447" s="52" t="str">
        <f>L_CViec!B370</f>
        <v>GHI CHÚ</v>
      </c>
      <c r="C447" s="52">
        <f>L_CViec!AD370</f>
        <v>0</v>
      </c>
      <c r="D447" s="52"/>
      <c r="E447" s="52">
        <f>L_CViec!AE370</f>
        <v>0</v>
      </c>
      <c r="F447" s="52">
        <f>L_CViec!AF370</f>
        <v>0</v>
      </c>
      <c r="G447" s="52">
        <f>L_CViec!AG370</f>
        <v>0</v>
      </c>
      <c r="H447" s="477">
        <f>L_CViec!AH370</f>
        <v>0</v>
      </c>
      <c r="I447" s="477">
        <f>L_CViec!AI370</f>
        <v>0</v>
      </c>
      <c r="J447" s="721">
        <f>L_CViec!AJ370</f>
        <v>0</v>
      </c>
      <c r="K447" s="472"/>
      <c r="L447" s="472"/>
      <c r="M447" s="472"/>
      <c r="N447" s="473"/>
      <c r="O447" s="473"/>
      <c r="P447" s="473"/>
    </row>
    <row r="448" spans="1:16" s="50" customFormat="1" ht="31.5" customHeight="1">
      <c r="A448" s="49" t="str">
        <f>L_CViec!A371</f>
        <v>1</v>
      </c>
      <c r="B448" s="980" t="str">
        <f>L_CViec!B371</f>
        <v>(1) Cột “ĐM Đất” áp dụng cho trường hợp đăng ký, cấp GCN đối với đất; cột “ĐM TS” áp dụng cho trường hợp đăng ký, cấp GCN đối với tài sản; cột “ĐM Đất + TS” áp dụng đối với trường hợp đăng ký, cấp GCN đối với cả đất và tài sản gắn liền với đất.</v>
      </c>
      <c r="C448" s="980"/>
      <c r="D448" s="980"/>
      <c r="E448" s="980"/>
      <c r="F448" s="980"/>
      <c r="G448" s="980"/>
      <c r="H448" s="980"/>
      <c r="I448" s="980"/>
      <c r="J448" s="980"/>
      <c r="K448" s="980"/>
      <c r="L448" s="980"/>
      <c r="M448" s="980"/>
      <c r="N448" s="474"/>
      <c r="O448" s="474"/>
      <c r="P448" s="474"/>
    </row>
    <row r="449" spans="1:16" s="50" customFormat="1" ht="16.5" customHeight="1">
      <c r="A449" s="49" t="str">
        <f>L_CViec!A372</f>
        <v>2</v>
      </c>
      <c r="B449" s="980" t="str">
        <f>L_CViec!B372</f>
        <v>2) Trường hợp cấp đổi GCN đồng thời với thực hiện thủ tục đăng ký biến động đất đai thì áp dụng theo định mức đăng ký biến động đất đai quy định tại Điều 20 Quy định này.</v>
      </c>
      <c r="C449" s="980"/>
      <c r="D449" s="980"/>
      <c r="E449" s="980"/>
      <c r="F449" s="980"/>
      <c r="G449" s="980"/>
      <c r="H449" s="980"/>
      <c r="I449" s="980"/>
      <c r="J449" s="980"/>
      <c r="K449" s="980"/>
      <c r="L449" s="980"/>
      <c r="M449" s="980"/>
      <c r="N449" s="474"/>
      <c r="O449" s="474"/>
      <c r="P449" s="474"/>
    </row>
    <row r="450" spans="1:16" s="24" customFormat="1">
      <c r="A450" s="24" t="s">
        <v>306</v>
      </c>
      <c r="B450" s="274"/>
      <c r="C450" s="275"/>
      <c r="D450" s="275"/>
      <c r="E450" s="275"/>
      <c r="F450" s="275"/>
      <c r="G450" s="276"/>
      <c r="H450" s="277"/>
      <c r="I450" s="277"/>
      <c r="J450" s="742"/>
      <c r="K450" s="277"/>
    </row>
    <row r="451" spans="1:16" s="23" customFormat="1" ht="15" customHeight="1">
      <c r="A451" s="953" t="s">
        <v>23</v>
      </c>
      <c r="B451" s="937" t="s">
        <v>44</v>
      </c>
      <c r="C451" s="948" t="s">
        <v>38</v>
      </c>
      <c r="D451" s="701"/>
      <c r="E451" s="948" t="s">
        <v>16</v>
      </c>
      <c r="F451" s="701" t="s">
        <v>96</v>
      </c>
      <c r="G451" s="933" t="s">
        <v>297</v>
      </c>
      <c r="H451" s="933"/>
      <c r="I451" s="933"/>
      <c r="J451" s="927" t="s">
        <v>309</v>
      </c>
      <c r="K451" s="933" t="s">
        <v>35</v>
      </c>
      <c r="L451" s="933"/>
      <c r="M451" s="933"/>
      <c r="N451" s="975" t="s">
        <v>313</v>
      </c>
      <c r="O451" s="976"/>
      <c r="P451" s="976"/>
    </row>
    <row r="452" spans="1:16" s="23" customFormat="1" ht="26">
      <c r="A452" s="953"/>
      <c r="B452" s="938"/>
      <c r="C452" s="948"/>
      <c r="D452" s="701"/>
      <c r="E452" s="948"/>
      <c r="F452" s="701" t="s">
        <v>24</v>
      </c>
      <c r="G452" s="761" t="s">
        <v>316</v>
      </c>
      <c r="H452" s="761" t="s">
        <v>315</v>
      </c>
      <c r="I452" s="761" t="s">
        <v>314</v>
      </c>
      <c r="J452" s="949"/>
      <c r="K452" s="761" t="s">
        <v>316</v>
      </c>
      <c r="L452" s="761" t="s">
        <v>315</v>
      </c>
      <c r="M452" s="761" t="s">
        <v>314</v>
      </c>
      <c r="N452" s="758" t="s">
        <v>316</v>
      </c>
      <c r="O452" s="758" t="s">
        <v>315</v>
      </c>
      <c r="P452" s="758" t="s">
        <v>314</v>
      </c>
    </row>
    <row r="453" spans="1:16" s="50" customFormat="1" ht="26.5" customHeight="1">
      <c r="A453" s="604" t="str">
        <f>L_CViec!A373</f>
        <v>VII</v>
      </c>
      <c r="B453" s="972" t="str">
        <f>L_CViec!B373</f>
        <v>Đăng ký biến động đất đai đối với hộ gia đình, cá nhân, cộng đồng dân cư, người gốc Việt Nam định cư ở nước ngoài</v>
      </c>
      <c r="C453" s="972"/>
      <c r="D453" s="972"/>
      <c r="E453" s="972"/>
      <c r="F453" s="972"/>
      <c r="G453" s="972"/>
      <c r="H453" s="972"/>
      <c r="I453" s="972"/>
      <c r="J453" s="972"/>
      <c r="K453" s="475"/>
      <c r="L453" s="475"/>
      <c r="M453" s="475"/>
      <c r="N453" s="750"/>
      <c r="O453" s="750"/>
      <c r="P453" s="750"/>
    </row>
    <row r="454" spans="1:16" s="50" customFormat="1" ht="26.5" customHeight="1">
      <c r="A454" s="604"/>
      <c r="B454" s="408" t="s">
        <v>740</v>
      </c>
      <c r="C454" s="685"/>
      <c r="D454" s="685"/>
      <c r="E454" s="685"/>
      <c r="F454" s="685"/>
      <c r="G454" s="685"/>
      <c r="H454" s="685"/>
      <c r="I454" s="685"/>
      <c r="J454" s="745"/>
      <c r="K454" s="475"/>
      <c r="L454" s="475"/>
      <c r="M454" s="475"/>
      <c r="N454" s="750"/>
      <c r="O454" s="750"/>
      <c r="P454" s="750"/>
    </row>
    <row r="455" spans="1:16" s="50" customFormat="1" ht="27" customHeight="1">
      <c r="A455" s="223" t="str">
        <f>L_CViec!A374</f>
        <v>VII.1</v>
      </c>
      <c r="B455" s="408" t="s">
        <v>741</v>
      </c>
      <c r="C455" s="408">
        <f>L_CViec!AD374</f>
        <v>0</v>
      </c>
      <c r="D455" s="408"/>
      <c r="E455" s="408">
        <f>L_CViec!AE374</f>
        <v>0</v>
      </c>
      <c r="F455" s="408">
        <f>L_CViec!AF374</f>
        <v>0</v>
      </c>
      <c r="G455" s="223"/>
      <c r="H455" s="475"/>
      <c r="I455" s="475"/>
      <c r="J455" s="718"/>
      <c r="K455" s="475">
        <f>SUM(K459,K460,K461,K472,K474,K484,K486,K489,K468,K469,K470,K471,K477,K481,K476,K487,K473,K475,K478,K479,K491,K493,K494,K495,K496,K502,K503,K464,K465,K499,K500,K501)</f>
        <v>1998289.1280000003</v>
      </c>
      <c r="L455" s="475">
        <f t="shared" ref="L455:P455" si="72">SUM(L459,L460,L461,L472,L474,L484,L486,L489,L468,L469,L470,L471,L477,L481,L476,L487,L473,L475,L478,L479,L491,L493,L494,L495,L496,L502,L503,L464,L465,L499,L500,L501)</f>
        <v>2192193.8940000008</v>
      </c>
      <c r="M455" s="475">
        <f t="shared" si="72"/>
        <v>2740300.0515000005</v>
      </c>
      <c r="N455" s="475">
        <f t="shared" si="72"/>
        <v>57411.538461538461</v>
      </c>
      <c r="O455" s="475">
        <f t="shared" si="72"/>
        <v>63444.615384615376</v>
      </c>
      <c r="P455" s="475">
        <f t="shared" si="72"/>
        <v>79169.538461538439</v>
      </c>
    </row>
    <row r="456" spans="1:16" s="50" customFormat="1" ht="27" customHeight="1">
      <c r="A456" s="223" t="s">
        <v>232</v>
      </c>
      <c r="B456" s="408" t="s">
        <v>742</v>
      </c>
      <c r="C456" s="408"/>
      <c r="D456" s="408"/>
      <c r="E456" s="408"/>
      <c r="F456" s="408"/>
      <c r="G456" s="223"/>
      <c r="H456" s="475"/>
      <c r="I456" s="475"/>
      <c r="J456" s="718"/>
      <c r="K456" s="475">
        <f>SUM(K459,K460,K461,K472,K474,K484,K486,K489,K468,K469,K470,K471,K477,K481,K476,K487,K473,K475,K478,K479,K491,K493,K494,K495,K496,K502,K503,K464,K465,K499,K500,K501)</f>
        <v>1998289.1280000003</v>
      </c>
      <c r="L456" s="475">
        <f t="shared" ref="L456:P456" si="73">SUM(L459,L460,L461,L472,L474,L484,L486,L489,L468,L469,L470,L471,L477,L481,L476,L487,L473,L475,L478,L479,L491,L493,L494,L495,L496,L502,L503,L464,L465,L499,L500,L501)</f>
        <v>2192193.8940000008</v>
      </c>
      <c r="M456" s="475">
        <f t="shared" si="73"/>
        <v>2740300.0515000005</v>
      </c>
      <c r="N456" s="475">
        <f t="shared" si="73"/>
        <v>57411.538461538461</v>
      </c>
      <c r="O456" s="475">
        <f t="shared" si="73"/>
        <v>63444.615384615376</v>
      </c>
      <c r="P456" s="475">
        <f t="shared" si="73"/>
        <v>79169.538461538439</v>
      </c>
    </row>
    <row r="457" spans="1:16" s="50" customFormat="1" ht="18" customHeight="1">
      <c r="A457" s="226" t="str">
        <f>L_CViec!A375</f>
        <v>1</v>
      </c>
      <c r="B457" s="227" t="str">
        <f>L_CViec!B375</f>
        <v>Hướng dẫn lập hồ sơ đăng ký biến động đất đai</v>
      </c>
      <c r="C457" s="226">
        <f>L_CViec!AD375</f>
        <v>0</v>
      </c>
      <c r="D457" s="226"/>
      <c r="E457" s="226">
        <f>L_CViec!AE375</f>
        <v>0</v>
      </c>
      <c r="F457" s="226">
        <f>L_CViec!AF375</f>
        <v>0</v>
      </c>
      <c r="G457" s="226">
        <f>L_CViec!AG375</f>
        <v>0</v>
      </c>
      <c r="H457" s="283">
        <f>L_CViec!AH375</f>
        <v>0</v>
      </c>
      <c r="I457" s="283">
        <f>L_CViec!AI375</f>
        <v>0</v>
      </c>
      <c r="J457" s="718">
        <f>L_CViec!AJ375</f>
        <v>0</v>
      </c>
      <c r="K457" s="127"/>
      <c r="L457" s="127"/>
      <c r="M457" s="127"/>
      <c r="N457" s="749"/>
      <c r="O457" s="749"/>
      <c r="P457" s="749"/>
    </row>
    <row r="458" spans="1:16" s="66" customFormat="1" ht="19.5" customHeight="1">
      <c r="A458" s="226" t="str">
        <f>L_CViec!A376</f>
        <v>1.1</v>
      </c>
      <c r="B458" s="227" t="str">
        <f>L_CViec!B376</f>
        <v>Theo hình thức trực tiếp</v>
      </c>
      <c r="C458" s="226" t="str">
        <f>L_CViec!AD376</f>
        <v>Hồ sơ</v>
      </c>
      <c r="D458" s="226">
        <f>L_CViec!AC376</f>
        <v>1</v>
      </c>
      <c r="E458" s="226" t="str">
        <f>L_CViec!AE376</f>
        <v>1KS2</v>
      </c>
      <c r="F458" s="226" t="str">
        <f>L_CViec!AF376</f>
        <v>1-3</v>
      </c>
      <c r="G458" s="226">
        <f>L_CViec!AG376</f>
        <v>0.2</v>
      </c>
      <c r="H458" s="283">
        <f>L_CViec!AH376</f>
        <v>0.2</v>
      </c>
      <c r="I458" s="283">
        <f>L_CViec!AI376</f>
        <v>0.26</v>
      </c>
      <c r="J458" s="718">
        <f>L_CViec!AJ376</f>
        <v>320867.25</v>
      </c>
      <c r="K458" s="127">
        <f>G458*$J458</f>
        <v>64173.450000000004</v>
      </c>
      <c r="L458" s="127">
        <f>H458*$J458</f>
        <v>64173.450000000004</v>
      </c>
      <c r="M458" s="127">
        <f>I458*$J458</f>
        <v>83425.485000000001</v>
      </c>
      <c r="N458" s="718">
        <f>$D458*G458*L_CBac!$J$68</f>
        <v>1946.1538461538462</v>
      </c>
      <c r="O458" s="718">
        <f>$D458*H458*L_CBac!$J$68</f>
        <v>1946.1538461538462</v>
      </c>
      <c r="P458" s="718">
        <f>$D458*I458*L_CBac!$J$68</f>
        <v>2530</v>
      </c>
    </row>
    <row r="459" spans="1:16" s="66" customFormat="1" ht="21" customHeight="1">
      <c r="A459" s="226" t="str">
        <f>L_CViec!A377</f>
        <v>1.2</v>
      </c>
      <c r="B459" s="227" t="str">
        <f>L_CViec!B377</f>
        <v>Theo hình thức trực tuyến</v>
      </c>
      <c r="C459" s="226" t="str">
        <f>L_CViec!AD377</f>
        <v>Hồ sơ</v>
      </c>
      <c r="D459" s="226">
        <f>L_CViec!AC377</f>
        <v>1</v>
      </c>
      <c r="E459" s="226" t="str">
        <f>L_CViec!AE377</f>
        <v>1KS2</v>
      </c>
      <c r="F459" s="226" t="str">
        <f>L_CViec!AF377</f>
        <v>1-3</v>
      </c>
      <c r="G459" s="226">
        <f>L_CViec!AG377</f>
        <v>0.15</v>
      </c>
      <c r="H459" s="283">
        <f>L_CViec!AH377</f>
        <v>0.15</v>
      </c>
      <c r="I459" s="283">
        <f>L_CViec!AI377</f>
        <v>0.19500000000000001</v>
      </c>
      <c r="J459" s="718">
        <f>L_CViec!AJ377</f>
        <v>320867.25</v>
      </c>
      <c r="K459" s="127">
        <f t="shared" ref="K459:K470" si="74">G459*$J459</f>
        <v>48130.087500000001</v>
      </c>
      <c r="L459" s="127">
        <f t="shared" ref="L459:L470" si="75">H459*$J459</f>
        <v>48130.087500000001</v>
      </c>
      <c r="M459" s="608">
        <f t="shared" ref="M459:M470" si="76">I459*$J459</f>
        <v>62569.113750000004</v>
      </c>
      <c r="N459" s="718">
        <f>$D459*G459*L_CBac!$J$68</f>
        <v>1459.6153846153845</v>
      </c>
      <c r="O459" s="718">
        <f>$D459*H459*L_CBac!$J$68</f>
        <v>1459.6153846153845</v>
      </c>
      <c r="P459" s="718">
        <f>$D459*I459*L_CBac!$J$68</f>
        <v>1897.5</v>
      </c>
    </row>
    <row r="460" spans="1:16" s="50" customFormat="1" ht="39">
      <c r="A460" s="226" t="str">
        <f>L_CViec!A378</f>
        <v>2</v>
      </c>
      <c r="B460" s="227" t="str">
        <f>L_CViec!B378</f>
        <v>Nhận, kiểm tra tính đầy đủ của thành phần hồ sơ và cấp Giấy tiếp nhận hồ sơ và hẹn trả kết quả hoặc trả lại hồ sơ, vào sổ theo dõi nhận, trả hồ sơ (theo hình thức trực tiếp, trực tuyến)</v>
      </c>
      <c r="C460" s="226" t="str">
        <f>L_CViec!AD378</f>
        <v>Hồ sơ</v>
      </c>
      <c r="D460" s="226">
        <f>L_CViec!AC378</f>
        <v>1</v>
      </c>
      <c r="E460" s="226" t="str">
        <f>L_CViec!AE378</f>
        <v>1KS2</v>
      </c>
      <c r="F460" s="226" t="str">
        <f>L_CViec!AF378</f>
        <v>1-3</v>
      </c>
      <c r="G460" s="226">
        <f>L_CViec!AG378</f>
        <v>0.25</v>
      </c>
      <c r="H460" s="283">
        <f>L_CViec!AH378</f>
        <v>0.25</v>
      </c>
      <c r="I460" s="283">
        <f>L_CViec!AI378</f>
        <v>0.32500000000000001</v>
      </c>
      <c r="J460" s="718">
        <f>L_CViec!AJ378</f>
        <v>320867.25</v>
      </c>
      <c r="K460" s="127">
        <f t="shared" si="74"/>
        <v>80216.8125</v>
      </c>
      <c r="L460" s="127">
        <f t="shared" si="75"/>
        <v>80216.8125</v>
      </c>
      <c r="M460" s="608">
        <f t="shared" si="76"/>
        <v>104281.85625</v>
      </c>
      <c r="N460" s="718">
        <f>$D460*G460*L_CBac!$J$68</f>
        <v>2432.6923076923076</v>
      </c>
      <c r="O460" s="718">
        <f>$D460*H460*L_CBac!$J$68</f>
        <v>2432.6923076923076</v>
      </c>
      <c r="P460" s="718">
        <f>$D460*I460*L_CBac!$J$68</f>
        <v>3162.5</v>
      </c>
    </row>
    <row r="461" spans="1:16" s="50" customFormat="1" ht="37.5" customHeight="1">
      <c r="A461" s="226" t="str">
        <f>L_CViec!A379</f>
        <v>3</v>
      </c>
      <c r="B461" s="227" t="str">
        <f>L_CViec!B379</f>
        <v>Tạo tệp (File) dữ liệu hồ sơ số và nhập thông tin do người sử dụng đất kê khai, đăng ký</v>
      </c>
      <c r="C461" s="226" t="str">
        <f>L_CViec!AD379</f>
        <v>Thửa</v>
      </c>
      <c r="D461" s="226">
        <f>L_CViec!AC379</f>
        <v>1</v>
      </c>
      <c r="E461" s="226" t="str">
        <f>L_CViec!AE379</f>
        <v>1KS3</v>
      </c>
      <c r="F461" s="226" t="str">
        <f>L_CViec!AF379</f>
        <v>1-3</v>
      </c>
      <c r="G461" s="226">
        <f>L_CViec!AG379</f>
        <v>0.107</v>
      </c>
      <c r="H461" s="283">
        <f>L_CViec!AH379</f>
        <v>3.3000000000000002E-2</v>
      </c>
      <c r="I461" s="283">
        <f>L_CViec!AI379</f>
        <v>0.16700000000000001</v>
      </c>
      <c r="J461" s="718">
        <f>L_CViec!AJ379</f>
        <v>360525</v>
      </c>
      <c r="K461" s="127">
        <f t="shared" si="74"/>
        <v>38576.174999999996</v>
      </c>
      <c r="L461" s="127">
        <f t="shared" si="75"/>
        <v>11897.325000000001</v>
      </c>
      <c r="M461" s="608">
        <f t="shared" si="76"/>
        <v>60207.675000000003</v>
      </c>
      <c r="N461" s="718">
        <f>$D461*G461*L_CBac!$J$68</f>
        <v>1041.1923076923076</v>
      </c>
      <c r="O461" s="718">
        <f>$D461*H461*L_CBac!$J$68</f>
        <v>321.11538461538464</v>
      </c>
      <c r="P461" s="718">
        <f>$D461*I461*L_CBac!$J$68</f>
        <v>1625.0384615384617</v>
      </c>
    </row>
    <row r="462" spans="1:16" s="183" customFormat="1" ht="26">
      <c r="A462" s="226" t="str">
        <f>L_CViec!A380</f>
        <v>4</v>
      </c>
      <c r="B462" s="227" t="str">
        <f>L_CViec!B380</f>
        <v>Quét giấy tờ pháp lý về quyền sử dụng đất, quyền sở hữu nhà ở và tài sản khác gắn liền với đất</v>
      </c>
      <c r="C462" s="226">
        <f>L_CViec!AD380</f>
        <v>0</v>
      </c>
      <c r="D462" s="226">
        <f>L_CViec!AC380</f>
        <v>0</v>
      </c>
      <c r="E462" s="226">
        <f>L_CViec!AE380</f>
        <v>0</v>
      </c>
      <c r="F462" s="226">
        <f>L_CViec!AF380</f>
        <v>0</v>
      </c>
      <c r="G462" s="226">
        <f>L_CViec!AG380</f>
        <v>0</v>
      </c>
      <c r="H462" s="283">
        <f>L_CViec!AH380</f>
        <v>0</v>
      </c>
      <c r="I462" s="283">
        <f>L_CViec!AI380</f>
        <v>0</v>
      </c>
      <c r="J462" s="718">
        <f>L_CViec!AJ380</f>
        <v>0</v>
      </c>
      <c r="K462" s="127">
        <f t="shared" si="74"/>
        <v>0</v>
      </c>
      <c r="L462" s="127">
        <f t="shared" si="75"/>
        <v>0</v>
      </c>
      <c r="M462" s="127">
        <f t="shared" si="76"/>
        <v>0</v>
      </c>
      <c r="N462" s="718">
        <f>$D462*G462*L_CBac!$J$68</f>
        <v>0</v>
      </c>
      <c r="O462" s="718">
        <f>$D462*H462*L_CBac!$J$68</f>
        <v>0</v>
      </c>
      <c r="P462" s="718">
        <f>$D462*I462*L_CBac!$J$68</f>
        <v>0</v>
      </c>
    </row>
    <row r="463" spans="1:16" s="183" customFormat="1">
      <c r="A463" s="226" t="str">
        <f>L_CViec!A381</f>
        <v>4.1</v>
      </c>
      <c r="B463" s="227" t="str">
        <f>L_CViec!B381</f>
        <v>Quét trang A3</v>
      </c>
      <c r="C463" s="226" t="str">
        <f>L_CViec!AD381</f>
        <v>Trang</v>
      </c>
      <c r="D463" s="226">
        <f>L_CViec!AC381</f>
        <v>1</v>
      </c>
      <c r="E463" s="226" t="str">
        <f>L_CViec!AE381</f>
        <v>1KS1</v>
      </c>
      <c r="F463" s="226" t="str">
        <f>L_CViec!AF381</f>
        <v>1-3</v>
      </c>
      <c r="G463" s="226">
        <f>L_CViec!AG381</f>
        <v>1.6E-2</v>
      </c>
      <c r="H463" s="283">
        <f>L_CViec!AH381</f>
        <v>0.02</v>
      </c>
      <c r="I463" s="283">
        <f>L_CViec!AI381</f>
        <v>2.4E-2</v>
      </c>
      <c r="J463" s="718">
        <f>L_CViec!AJ381</f>
        <v>281209.5</v>
      </c>
      <c r="K463" s="127">
        <f t="shared" si="74"/>
        <v>4499.3519999999999</v>
      </c>
      <c r="L463" s="127">
        <f t="shared" si="75"/>
        <v>5624.1900000000005</v>
      </c>
      <c r="M463" s="127">
        <f t="shared" si="76"/>
        <v>6749.0280000000002</v>
      </c>
      <c r="N463" s="718">
        <f>$D463*G463*L_CBac!$J$68</f>
        <v>155.69230769230768</v>
      </c>
      <c r="O463" s="718">
        <f>$D463*H463*L_CBac!$J$68</f>
        <v>194.61538461538461</v>
      </c>
      <c r="P463" s="718">
        <f>$D463*I463*L_CBac!$J$68</f>
        <v>233.53846153846155</v>
      </c>
    </row>
    <row r="464" spans="1:16" s="183" customFormat="1">
      <c r="A464" s="226" t="str">
        <f>L_CViec!A382</f>
        <v>4.2</v>
      </c>
      <c r="B464" s="227" t="str">
        <f>L_CViec!B382</f>
        <v>Quét trang A4</v>
      </c>
      <c r="C464" s="226" t="str">
        <f>L_CViec!AD382</f>
        <v>Trang</v>
      </c>
      <c r="D464" s="226">
        <f>L_CViec!AC382</f>
        <v>1</v>
      </c>
      <c r="E464" s="226" t="str">
        <f>L_CViec!AE382</f>
        <v>1KS1</v>
      </c>
      <c r="F464" s="226" t="str">
        <f>L_CViec!AF382</f>
        <v>1-3</v>
      </c>
      <c r="G464" s="226">
        <f>L_CViec!AG382</f>
        <v>8.0000000000000002E-3</v>
      </c>
      <c r="H464" s="283">
        <f>L_CViec!AH382</f>
        <v>0.01</v>
      </c>
      <c r="I464" s="283">
        <f>L_CViec!AI382</f>
        <v>1.2E-2</v>
      </c>
      <c r="J464" s="718">
        <f>L_CViec!AJ382</f>
        <v>281209.5</v>
      </c>
      <c r="K464" s="127">
        <f t="shared" si="74"/>
        <v>2249.6759999999999</v>
      </c>
      <c r="L464" s="127">
        <f t="shared" si="75"/>
        <v>2812.0950000000003</v>
      </c>
      <c r="M464" s="127">
        <f t="shared" si="76"/>
        <v>3374.5140000000001</v>
      </c>
      <c r="N464" s="718">
        <f>$D464*G464*L_CBac!$J$68</f>
        <v>77.84615384615384</v>
      </c>
      <c r="O464" s="718">
        <f>$D464*H464*L_CBac!$J$68</f>
        <v>97.307692307692307</v>
      </c>
      <c r="P464" s="718">
        <f>$D464*I464*L_CBac!$J$68</f>
        <v>116.76923076923077</v>
      </c>
    </row>
    <row r="465" spans="1:16" s="50" customFormat="1" ht="26">
      <c r="A465" s="226" t="str">
        <f>L_CViec!A383</f>
        <v>5</v>
      </c>
      <c r="B465" s="227" t="str">
        <f>L_CViec!B383</f>
        <v>Xử lý các tệp tin quét thành tệp (File) hồ sơ quét dạng số của thửa đất, lưu trữ dưới khuôn dạng tệp tin PDF</v>
      </c>
      <c r="C465" s="226" t="str">
        <f>L_CViec!AD383</f>
        <v>Trang</v>
      </c>
      <c r="D465" s="226">
        <f>L_CViec!AC383</f>
        <v>1</v>
      </c>
      <c r="E465" s="226" t="str">
        <f>L_CViec!AE383</f>
        <v>1KS1</v>
      </c>
      <c r="F465" s="226" t="str">
        <f>L_CViec!AF383</f>
        <v>1-3</v>
      </c>
      <c r="G465" s="226">
        <f>L_CViec!AG383</f>
        <v>4.0000000000000001E-3</v>
      </c>
      <c r="H465" s="283">
        <f>L_CViec!AH383</f>
        <v>5.0000000000000001E-3</v>
      </c>
      <c r="I465" s="283">
        <f>L_CViec!AI383</f>
        <v>6.0000000000000001E-3</v>
      </c>
      <c r="J465" s="718">
        <f>L_CViec!AJ383</f>
        <v>281209.5</v>
      </c>
      <c r="K465" s="127">
        <f t="shared" si="74"/>
        <v>1124.838</v>
      </c>
      <c r="L465" s="127">
        <f t="shared" si="75"/>
        <v>1406.0475000000001</v>
      </c>
      <c r="M465" s="127">
        <f t="shared" si="76"/>
        <v>1687.2570000000001</v>
      </c>
      <c r="N465" s="718">
        <f>$D465*G465*L_CBac!$J$68</f>
        <v>38.92307692307692</v>
      </c>
      <c r="O465" s="718">
        <f>$D465*H465*L_CBac!$J$68</f>
        <v>48.653846153846153</v>
      </c>
      <c r="P465" s="718">
        <f>$D465*I465*L_CBac!$J$68</f>
        <v>58.384615384615387</v>
      </c>
    </row>
    <row r="466" spans="1:16" s="183" customFormat="1">
      <c r="A466" s="226">
        <f>L_CViec!A384</f>
        <v>6</v>
      </c>
      <c r="B466" s="227" t="str">
        <f>L_CViec!B384</f>
        <v>Chuyển hồ sơ đến Văn phòng đăng ký đất đai</v>
      </c>
      <c r="C466" s="226">
        <f>L_CViec!AD384</f>
        <v>0</v>
      </c>
      <c r="D466" s="226">
        <f>L_CViec!AC384</f>
        <v>0</v>
      </c>
      <c r="E466" s="226">
        <f>L_CViec!AE384</f>
        <v>0</v>
      </c>
      <c r="F466" s="226">
        <f>L_CViec!AF384</f>
        <v>0</v>
      </c>
      <c r="G466" s="226">
        <f>L_CViec!AG384</f>
        <v>0</v>
      </c>
      <c r="H466" s="283">
        <f>L_CViec!AH384</f>
        <v>0</v>
      </c>
      <c r="I466" s="283">
        <f>L_CViec!AI384</f>
        <v>0</v>
      </c>
      <c r="J466" s="718">
        <f>L_CViec!AJ384</f>
        <v>0</v>
      </c>
      <c r="K466" s="127">
        <f t="shared" si="74"/>
        <v>0</v>
      </c>
      <c r="L466" s="127">
        <f t="shared" si="75"/>
        <v>0</v>
      </c>
      <c r="M466" s="127">
        <f t="shared" si="76"/>
        <v>0</v>
      </c>
      <c r="N466" s="707">
        <f>$D466*G466*L_CBac!$J$68</f>
        <v>0</v>
      </c>
      <c r="O466" s="707">
        <f>$D466*H466*L_CBac!$J$68</f>
        <v>0</v>
      </c>
      <c r="P466" s="707">
        <f>$D466*I466*L_CBac!$J$68</f>
        <v>0</v>
      </c>
    </row>
    <row r="467" spans="1:16" s="183" customFormat="1">
      <c r="A467" s="226">
        <f>L_CViec!A385</f>
        <v>6.1</v>
      </c>
      <c r="B467" s="227" t="str">
        <f>L_CViec!B385</f>
        <v>Theo hình thức trực tiếp</v>
      </c>
      <c r="C467" s="226" t="str">
        <f>L_CViec!AD385</f>
        <v>Hồ sơ</v>
      </c>
      <c r="D467" s="226">
        <f>L_CViec!AC385</f>
        <v>1</v>
      </c>
      <c r="E467" s="226" t="str">
        <f>L_CViec!AE385</f>
        <v>1KS2</v>
      </c>
      <c r="F467" s="226" t="str">
        <f>L_CViec!AF385</f>
        <v>1-3</v>
      </c>
      <c r="G467" s="226">
        <f>L_CViec!AG385</f>
        <v>0.05</v>
      </c>
      <c r="H467" s="283">
        <f>L_CViec!AH385</f>
        <v>0.05</v>
      </c>
      <c r="I467" s="283">
        <f>L_CViec!AI385</f>
        <v>0.05</v>
      </c>
      <c r="J467" s="718">
        <f>L_CViec!AJ385</f>
        <v>320867.25</v>
      </c>
      <c r="K467" s="127">
        <f t="shared" si="74"/>
        <v>16043.362500000001</v>
      </c>
      <c r="L467" s="127">
        <f t="shared" si="75"/>
        <v>16043.362500000001</v>
      </c>
      <c r="M467" s="127">
        <f t="shared" si="76"/>
        <v>16043.362500000001</v>
      </c>
      <c r="N467" s="718">
        <f>$D467*G467*L_CBac!$J$68</f>
        <v>486.53846153846155</v>
      </c>
      <c r="O467" s="718">
        <f>$D467*H467*L_CBac!$J$68</f>
        <v>486.53846153846155</v>
      </c>
      <c r="P467" s="718">
        <f>$D467*I467*L_CBac!$J$68</f>
        <v>486.53846153846155</v>
      </c>
    </row>
    <row r="468" spans="1:16" s="183" customFormat="1">
      <c r="A468" s="226">
        <f>L_CViec!A386</f>
        <v>6.2</v>
      </c>
      <c r="B468" s="227" t="str">
        <f>L_CViec!B386</f>
        <v>Theo hình thức trực tuyến</v>
      </c>
      <c r="C468" s="226" t="str">
        <f>L_CViec!AD386</f>
        <v>Hồ sơ</v>
      </c>
      <c r="D468" s="226">
        <f>L_CViec!AC386</f>
        <v>1</v>
      </c>
      <c r="E468" s="226" t="str">
        <f>L_CViec!AE386</f>
        <v>1KS2</v>
      </c>
      <c r="F468" s="226" t="str">
        <f>L_CViec!AF386</f>
        <v>1-3</v>
      </c>
      <c r="G468" s="226">
        <f>L_CViec!AG386</f>
        <v>0.04</v>
      </c>
      <c r="H468" s="283">
        <f>L_CViec!AH386</f>
        <v>0.04</v>
      </c>
      <c r="I468" s="283">
        <f>L_CViec!AI386</f>
        <v>0.04</v>
      </c>
      <c r="J468" s="718">
        <f>L_CViec!AJ386</f>
        <v>320867.25</v>
      </c>
      <c r="K468" s="127">
        <f t="shared" si="74"/>
        <v>12834.69</v>
      </c>
      <c r="L468" s="127">
        <f t="shared" si="75"/>
        <v>12834.69</v>
      </c>
      <c r="M468" s="608">
        <f t="shared" si="76"/>
        <v>12834.69</v>
      </c>
      <c r="N468" s="718">
        <f>$D468*G468*L_CBac!$J$68</f>
        <v>389.23076923076923</v>
      </c>
      <c r="O468" s="718">
        <f>$D468*H468*L_CBac!$J$68</f>
        <v>389.23076923076923</v>
      </c>
      <c r="P468" s="718">
        <f>$D468*I468*L_CBac!$J$68</f>
        <v>389.23076923076923</v>
      </c>
    </row>
    <row r="469" spans="1:16" s="183" customFormat="1" ht="91">
      <c r="A469" s="226" t="str">
        <f>L_CViec!A387</f>
        <v>7</v>
      </c>
      <c r="B469" s="227" t="str">
        <f>L_CViec!B387</f>
        <v>Kiểm tra các điều kiện thực hiện quyền theo quy định của Luật Đất đai đối với trường hợp thực hiện quyền của người sử dụng đất, của chủ sở hữu tài sản gắn liền với đất. Trường hợp không đủ điều kiện thực hiện quyền theo quy định của Luật Đất đai hoặc nhận được một trong các văn bản của cơ quan có thẩm quyền về việc dừng giải quyết thủ tục thì thông báo lý do và trả hồ sơ</v>
      </c>
      <c r="C469" s="226" t="str">
        <f>L_CViec!AD387</f>
        <v>Hồ sơ</v>
      </c>
      <c r="D469" s="226">
        <f>L_CViec!AC387</f>
        <v>2</v>
      </c>
      <c r="E469" s="226" t="str">
        <f>L_CViec!AE387</f>
        <v xml:space="preserve">1KS2, 1KTV4 </v>
      </c>
      <c r="F469" s="226" t="str">
        <f>L_CViec!AF387</f>
        <v>1-3</v>
      </c>
      <c r="G469" s="226">
        <f>L_CViec!AG387</f>
        <v>0.6</v>
      </c>
      <c r="H469" s="283">
        <f>L_CViec!AH387</f>
        <v>0.9</v>
      </c>
      <c r="I469" s="283">
        <f>L_CViec!AI387</f>
        <v>1.08</v>
      </c>
      <c r="J469" s="718">
        <f>L_CViec!AJ387</f>
        <v>616497.75</v>
      </c>
      <c r="K469" s="127">
        <f t="shared" si="74"/>
        <v>369898.64999999997</v>
      </c>
      <c r="L469" s="127">
        <f t="shared" si="75"/>
        <v>554847.97499999998</v>
      </c>
      <c r="M469" s="608">
        <f>I469*$J469</f>
        <v>665817.57000000007</v>
      </c>
      <c r="N469" s="718">
        <f>$D469*G469*L_CBac!$J$68</f>
        <v>11676.923076923076</v>
      </c>
      <c r="O469" s="718">
        <f>$D469*H469*L_CBac!$J$68</f>
        <v>17515.384615384617</v>
      </c>
      <c r="P469" s="718">
        <f>$D469*I469*L_CBac!$J$68</f>
        <v>21018.461538461539</v>
      </c>
    </row>
    <row r="470" spans="1:16" s="183" customFormat="1" ht="65">
      <c r="A470" s="226">
        <f>L_CViec!A388</f>
        <v>8</v>
      </c>
      <c r="B470" s="227" t="str">
        <f>L_CViec!B388</f>
        <v>Thông báo bằng văn bản cho bên chuyển quyền hoặc thực hiện đăng tin 03 lần trên phương tiện thông tin đại chúng ở địa phương đối với trường hợp cấp Giấy chứng nhận diện tích tăng thêm hoặc thông báo cho người sử dụng đất về hủy kết quả đăng ký</v>
      </c>
      <c r="C470" s="226" t="str">
        <f>L_CViec!AD388</f>
        <v>Hồ sơ</v>
      </c>
      <c r="D470" s="226">
        <f>L_CViec!AC388</f>
        <v>1</v>
      </c>
      <c r="E470" s="226" t="str">
        <f>L_CViec!AE388</f>
        <v>1KS3</v>
      </c>
      <c r="F470" s="226" t="str">
        <f>L_CViec!AF388</f>
        <v>1-3</v>
      </c>
      <c r="G470" s="226">
        <f>L_CViec!AG388</f>
        <v>0.2</v>
      </c>
      <c r="H470" s="283">
        <f>L_CViec!AH388</f>
        <v>0.2</v>
      </c>
      <c r="I470" s="283">
        <f>L_CViec!AI388</f>
        <v>0.26</v>
      </c>
      <c r="J470" s="718">
        <f>L_CViec!AJ388</f>
        <v>360525</v>
      </c>
      <c r="K470" s="127">
        <f t="shared" si="74"/>
        <v>72105</v>
      </c>
      <c r="L470" s="127">
        <f t="shared" si="75"/>
        <v>72105</v>
      </c>
      <c r="M470" s="608">
        <f t="shared" si="76"/>
        <v>93736.5</v>
      </c>
      <c r="N470" s="718">
        <f>$D470*G470*L_CBac!$J$68</f>
        <v>1946.1538461538462</v>
      </c>
      <c r="O470" s="718">
        <f>$D470*H470*L_CBac!$J$68</f>
        <v>1946.1538461538462</v>
      </c>
      <c r="P470" s="718">
        <f>$D470*I470*L_CBac!$J$68</f>
        <v>2530</v>
      </c>
    </row>
    <row r="471" spans="1:16" s="183" customFormat="1">
      <c r="A471" s="226">
        <f>L_CViec!A389</f>
        <v>9</v>
      </c>
      <c r="B471" s="227" t="str">
        <f>L_CViec!B389</f>
        <v>Thông báo cho chủ đầu tư cung cấp các giấy tờ quy định</v>
      </c>
      <c r="C471" s="226" t="str">
        <f>L_CViec!AD389</f>
        <v>Hồ sơ</v>
      </c>
      <c r="D471" s="226">
        <f>L_CViec!AC389</f>
        <v>1</v>
      </c>
      <c r="E471" s="226" t="str">
        <f>L_CViec!AE389</f>
        <v>1KS3</v>
      </c>
      <c r="F471" s="226" t="str">
        <f>L_CViec!AF389</f>
        <v>1-3</v>
      </c>
      <c r="G471" s="226">
        <f>L_CViec!AG389</f>
        <v>0.3</v>
      </c>
      <c r="H471" s="283">
        <f>L_CViec!AH389</f>
        <v>0.3</v>
      </c>
      <c r="I471" s="283">
        <f>L_CViec!AI389</f>
        <v>0.4</v>
      </c>
      <c r="J471" s="718">
        <f>L_CViec!AJ389</f>
        <v>360525</v>
      </c>
      <c r="K471" s="127">
        <f t="shared" ref="K471:K500" si="77">G471*$J471</f>
        <v>108157.5</v>
      </c>
      <c r="L471" s="127">
        <f t="shared" ref="L471:L500" si="78">H471*$J471</f>
        <v>108157.5</v>
      </c>
      <c r="M471" s="608">
        <f t="shared" ref="M471:M500" si="79">I471*$J471</f>
        <v>144210</v>
      </c>
      <c r="N471" s="718">
        <f>$D471*G471*L_CBac!$J$68</f>
        <v>2919.2307692307691</v>
      </c>
      <c r="O471" s="718">
        <f>$D471*H471*L_CBac!$J$68</f>
        <v>2919.2307692307691</v>
      </c>
      <c r="P471" s="718">
        <f>$D471*I471*L_CBac!$J$68</f>
        <v>3892.3076923076924</v>
      </c>
    </row>
    <row r="472" spans="1:16" s="50" customFormat="1" ht="26">
      <c r="A472" s="226">
        <f>L_CViec!A390</f>
        <v>10</v>
      </c>
      <c r="B472" s="227" t="str">
        <f>L_CViec!B390</f>
        <v>Hướng dẫn các bên nộp đơn đến cơ quan nhà nước có thẩm quyền giải quyết tranh chấp theo quy định</v>
      </c>
      <c r="C472" s="226" t="str">
        <f>L_CViec!AD390</f>
        <v>Hồ sơ</v>
      </c>
      <c r="D472" s="226">
        <f>L_CViec!AC390</f>
        <v>1</v>
      </c>
      <c r="E472" s="226" t="str">
        <f>L_CViec!AE390</f>
        <v>1KS3</v>
      </c>
      <c r="F472" s="226" t="str">
        <f>L_CViec!AF390</f>
        <v>1-3</v>
      </c>
      <c r="G472" s="226">
        <f>L_CViec!AG390</f>
        <v>0.2</v>
      </c>
      <c r="H472" s="283">
        <f>L_CViec!AH390</f>
        <v>0.2</v>
      </c>
      <c r="I472" s="283">
        <f>L_CViec!AI390</f>
        <v>0.26</v>
      </c>
      <c r="J472" s="718">
        <f>L_CViec!AJ390</f>
        <v>360525</v>
      </c>
      <c r="K472" s="127">
        <f t="shared" si="77"/>
        <v>72105</v>
      </c>
      <c r="L472" s="127">
        <f t="shared" si="78"/>
        <v>72105</v>
      </c>
      <c r="M472" s="608">
        <f t="shared" si="79"/>
        <v>93736.5</v>
      </c>
      <c r="N472" s="718">
        <f>$D472*G472*L_CBac!$J$68</f>
        <v>1946.1538461538462</v>
      </c>
      <c r="O472" s="718">
        <f>$D472*H472*L_CBac!$J$68</f>
        <v>1946.1538461538462</v>
      </c>
      <c r="P472" s="718">
        <f>$D472*I472*L_CBac!$J$68</f>
        <v>2530</v>
      </c>
    </row>
    <row r="473" spans="1:16" s="50" customFormat="1" ht="78">
      <c r="A473" s="226">
        <f>L_CViec!A391</f>
        <v>11</v>
      </c>
      <c r="B473" s="227" t="str">
        <f>L_CViec!B391</f>
        <v>Kiểm tra hồ sơ cấp Giấy chứng nhận trước đây, trình cơ quan có thẩm quyền xác định lại diện tích đất ở hoặc trình cơ quan có thẩm quyền  ký, ban hành quyết định cho phép chuyển mục đích sử dụng đất hoặc lập biên bản kết luận về nội dung và nguyên nhân sai sót hoặc trình, quyết định thu hồi Giấy chứng nhận</v>
      </c>
      <c r="C473" s="226" t="str">
        <f>L_CViec!AD391</f>
        <v>Hồ sơ</v>
      </c>
      <c r="D473" s="226">
        <f>L_CViec!AC391</f>
        <v>1</v>
      </c>
      <c r="E473" s="226" t="str">
        <f>L_CViec!AE391</f>
        <v>1KS3</v>
      </c>
      <c r="F473" s="226" t="str">
        <f>L_CViec!AF391</f>
        <v>1-3</v>
      </c>
      <c r="G473" s="226">
        <f>L_CViec!AG391</f>
        <v>1</v>
      </c>
      <c r="H473" s="283">
        <f>L_CViec!AH391</f>
        <v>1</v>
      </c>
      <c r="I473" s="283">
        <f>L_CViec!AI391</f>
        <v>1.2</v>
      </c>
      <c r="J473" s="718">
        <f>L_CViec!AJ391</f>
        <v>360525</v>
      </c>
      <c r="K473" s="127">
        <f t="shared" si="77"/>
        <v>360525</v>
      </c>
      <c r="L473" s="127">
        <f t="shared" si="78"/>
        <v>360525</v>
      </c>
      <c r="M473" s="608">
        <f t="shared" si="79"/>
        <v>432630</v>
      </c>
      <c r="N473" s="718">
        <f>$D473*G473*L_CBac!$J$68</f>
        <v>9730.7692307692305</v>
      </c>
      <c r="O473" s="718">
        <f>$D473*H473*L_CBac!$J$68</f>
        <v>9730.7692307692305</v>
      </c>
      <c r="P473" s="718">
        <f>$D473*I473*L_CBac!$J$68</f>
        <v>11676.923076923076</v>
      </c>
    </row>
    <row r="474" spans="1:16" s="66" customFormat="1" ht="39">
      <c r="A474" s="226">
        <f>L_CViec!A392</f>
        <v>12</v>
      </c>
      <c r="B474" s="227" t="str">
        <f>L_CViec!B392</f>
        <v>Thông báo bằng văn bản cho cơ quan thuế về việc chấm dứt quyền và nghĩa vụ của bên chuyển quyền sử dụng đất, quyền sở hữu tài sản gắn liền với đất trong hợp đồng thuê đất</v>
      </c>
      <c r="C474" s="226" t="str">
        <f>L_CViec!AD392</f>
        <v>Hồ sơ</v>
      </c>
      <c r="D474" s="226">
        <f>L_CViec!AC392</f>
        <v>1</v>
      </c>
      <c r="E474" s="226" t="str">
        <f>L_CViec!AE392</f>
        <v>1KS3</v>
      </c>
      <c r="F474" s="226" t="str">
        <f>L_CViec!AF392</f>
        <v>1-3</v>
      </c>
      <c r="G474" s="226">
        <f>L_CViec!AG392</f>
        <v>1</v>
      </c>
      <c r="H474" s="283">
        <f>L_CViec!AH392</f>
        <v>1</v>
      </c>
      <c r="I474" s="283">
        <f>L_CViec!AI392</f>
        <v>1.2</v>
      </c>
      <c r="J474" s="718">
        <f>L_CViec!AJ392</f>
        <v>360525</v>
      </c>
      <c r="K474" s="127">
        <f t="shared" si="77"/>
        <v>360525</v>
      </c>
      <c r="L474" s="127">
        <f t="shared" si="78"/>
        <v>360525</v>
      </c>
      <c r="M474" s="608">
        <f t="shared" si="79"/>
        <v>432630</v>
      </c>
      <c r="N474" s="718">
        <f>$D474*G474*L_CBac!$J$68</f>
        <v>9730.7692307692305</v>
      </c>
      <c r="O474" s="718">
        <f>$D474*H474*L_CBac!$J$68</f>
        <v>9730.7692307692305</v>
      </c>
      <c r="P474" s="718">
        <f>$D474*I474*L_CBac!$J$68</f>
        <v>11676.923076923076</v>
      </c>
    </row>
    <row r="475" spans="1:16" s="66" customFormat="1" ht="65">
      <c r="A475" s="226">
        <f>L_CViec!A393</f>
        <v>13</v>
      </c>
      <c r="B475" s="227" t="str">
        <f>L_CViec!B393</f>
        <v>Thông báo cho người có quyền và nghĩa vụ liên quan theo quy định của pháp luật dân sự nộp giấy tờ chứng minh để tiếp tục thực hiện thủ tục đối với trường hợp người sử dụng đất, chủ sở hữu tài sản gắn liền với đất không tiếp tục thực hiện thủ tục</v>
      </c>
      <c r="C475" s="226" t="str">
        <f>L_CViec!AD393</f>
        <v>Hồ sơ</v>
      </c>
      <c r="D475" s="226">
        <f>L_CViec!AC393</f>
        <v>1</v>
      </c>
      <c r="E475" s="226" t="str">
        <f>L_CViec!AE393</f>
        <v>1KS3</v>
      </c>
      <c r="F475" s="226" t="str">
        <f>L_CViec!AF393</f>
        <v>1-3</v>
      </c>
      <c r="G475" s="226">
        <f>L_CViec!AG393</f>
        <v>0.2</v>
      </c>
      <c r="H475" s="283">
        <f>L_CViec!AH393</f>
        <v>0.2</v>
      </c>
      <c r="I475" s="283">
        <f>L_CViec!AI393</f>
        <v>0.26</v>
      </c>
      <c r="J475" s="718">
        <f>L_CViec!AJ393</f>
        <v>360525</v>
      </c>
      <c r="K475" s="127">
        <f t="shared" si="77"/>
        <v>72105</v>
      </c>
      <c r="L475" s="127">
        <f t="shared" si="78"/>
        <v>72105</v>
      </c>
      <c r="M475" s="608">
        <f t="shared" si="79"/>
        <v>93736.5</v>
      </c>
      <c r="N475" s="718">
        <f>$D475*G475*L_CBac!$J$68</f>
        <v>1946.1538461538462</v>
      </c>
      <c r="O475" s="718">
        <f>$D475*H475*L_CBac!$J$68</f>
        <v>1946.1538461538462</v>
      </c>
      <c r="P475" s="718">
        <f>$D475*I475*L_CBac!$J$68</f>
        <v>2530</v>
      </c>
    </row>
    <row r="476" spans="1:16" s="305" customFormat="1" ht="39">
      <c r="A476" s="226">
        <f>L_CViec!A394</f>
        <v>14</v>
      </c>
      <c r="B476" s="227" t="str">
        <f>L_CViec!B394</f>
        <v>Niêm yết tại trụ sở Ủy ban nhân dân cấp xã,phường, nơi có đất về việc làm thủ tục cấp Giấy chứng nhận cho người nhận chuyển quyền</v>
      </c>
      <c r="C476" s="226" t="str">
        <f>L_CViec!AD394</f>
        <v>Hồ sơ</v>
      </c>
      <c r="D476" s="226">
        <f>L_CViec!AC394</f>
        <v>1</v>
      </c>
      <c r="E476" s="226" t="str">
        <f>L_CViec!AE394</f>
        <v>1KTV4</v>
      </c>
      <c r="F476" s="226" t="str">
        <f>L_CViec!AF394</f>
        <v>1-3</v>
      </c>
      <c r="G476" s="226">
        <f>L_CViec!AG394</f>
        <v>0.06</v>
      </c>
      <c r="H476" s="283">
        <f>L_CViec!AH394</f>
        <v>0.06</v>
      </c>
      <c r="I476" s="283">
        <f>L_CViec!AI394</f>
        <v>7.8E-2</v>
      </c>
      <c r="J476" s="718">
        <f>L_CViec!AJ394</f>
        <v>295630.50000000006</v>
      </c>
      <c r="K476" s="127">
        <f t="shared" si="77"/>
        <v>17737.830000000002</v>
      </c>
      <c r="L476" s="127">
        <f t="shared" si="78"/>
        <v>17737.830000000002</v>
      </c>
      <c r="M476" s="608">
        <f t="shared" si="79"/>
        <v>23059.179000000004</v>
      </c>
      <c r="N476" s="718">
        <f>$D476*G476*L_CBac!$J$68</f>
        <v>583.84615384615381</v>
      </c>
      <c r="O476" s="718">
        <f>$D476*H476*L_CBac!$J$68</f>
        <v>583.84615384615381</v>
      </c>
      <c r="P476" s="718">
        <f>$D476*I476*L_CBac!$J$68</f>
        <v>759</v>
      </c>
    </row>
    <row r="477" spans="1:16" s="305" customFormat="1" ht="52">
      <c r="A477" s="226">
        <f>L_CViec!A395</f>
        <v>15</v>
      </c>
      <c r="B477" s="227" t="str">
        <f>L_CViec!B395</f>
        <v>Xác nhận hiện trạng sử dụng đất, tình trạng tranh chấp đất đai, tài sản gắn liền với đất, xác nhận đất sử dụng ổn định, xác nhận nguồn gốc sử dụng đất, xác nhận sự phù hợp với quy hoạch</v>
      </c>
      <c r="C477" s="226" t="str">
        <f>L_CViec!AD395</f>
        <v>Hồ sơ</v>
      </c>
      <c r="D477" s="226">
        <f>L_CViec!AC395</f>
        <v>1</v>
      </c>
      <c r="E477" s="226" t="str">
        <f>L_CViec!AE395</f>
        <v>1KS2</v>
      </c>
      <c r="F477" s="226" t="str">
        <f>L_CViec!AF395</f>
        <v>1-3</v>
      </c>
      <c r="G477" s="226">
        <f>L_CViec!AG395</f>
        <v>0.05</v>
      </c>
      <c r="H477" s="283">
        <f>L_CViec!AH395</f>
        <v>0.05</v>
      </c>
      <c r="I477" s="283">
        <f>L_CViec!AI395</f>
        <v>6.5000000000000002E-2</v>
      </c>
      <c r="J477" s="718">
        <f>L_CViec!AJ395</f>
        <v>320867.25</v>
      </c>
      <c r="K477" s="127">
        <f t="shared" si="77"/>
        <v>16043.362500000001</v>
      </c>
      <c r="L477" s="127">
        <f t="shared" si="78"/>
        <v>16043.362500000001</v>
      </c>
      <c r="M477" s="608">
        <f t="shared" si="79"/>
        <v>20856.37125</v>
      </c>
      <c r="N477" s="718">
        <f>$D477*G477*L_CBac!$J$68</f>
        <v>486.53846153846155</v>
      </c>
      <c r="O477" s="718">
        <f>$D477*H477*L_CBac!$J$68</f>
        <v>486.53846153846155</v>
      </c>
      <c r="P477" s="718">
        <f>$D477*I477*L_CBac!$J$68</f>
        <v>632.5</v>
      </c>
    </row>
    <row r="478" spans="1:16" s="305" customFormat="1" ht="39">
      <c r="A478" s="226">
        <f>L_CViec!A396</f>
        <v>16</v>
      </c>
      <c r="B478" s="227" t="str">
        <f>L_CViec!B396</f>
        <v>Chuyển Văn phòng đăng ký đất đai, Chi nhánh Văn phòng đăng ký đất đai văn bản về xác nhận về tình trạng sạt lở tự nhiên hoặc văn bản về việc tặng cho quyền sử dụng đất</v>
      </c>
      <c r="C478" s="226" t="str">
        <f>L_CViec!AD396</f>
        <v>Hồ sơ</v>
      </c>
      <c r="D478" s="226">
        <f>L_CViec!AC396</f>
        <v>1</v>
      </c>
      <c r="E478" s="226" t="str">
        <f>L_CViec!AE396</f>
        <v>1KS2</v>
      </c>
      <c r="F478" s="226" t="str">
        <f>L_CViec!AF396</f>
        <v>1-3</v>
      </c>
      <c r="G478" s="226">
        <f>L_CViec!AG396</f>
        <v>0.1</v>
      </c>
      <c r="H478" s="283">
        <f>L_CViec!AH396</f>
        <v>0.1</v>
      </c>
      <c r="I478" s="283">
        <f>L_CViec!AI396</f>
        <v>0.15</v>
      </c>
      <c r="J478" s="718">
        <f>L_CViec!AJ396</f>
        <v>320867.25</v>
      </c>
      <c r="K478" s="127">
        <f t="shared" si="77"/>
        <v>32086.725000000002</v>
      </c>
      <c r="L478" s="127">
        <f t="shared" si="78"/>
        <v>32086.725000000002</v>
      </c>
      <c r="M478" s="608">
        <f t="shared" si="79"/>
        <v>48130.087500000001</v>
      </c>
      <c r="N478" s="718">
        <f>$D478*G478*L_CBac!$J$68</f>
        <v>973.07692307692309</v>
      </c>
      <c r="O478" s="718">
        <f>$D478*H478*L_CBac!$J$68</f>
        <v>973.07692307692309</v>
      </c>
      <c r="P478" s="718">
        <f>$D478*I478*L_CBac!$J$68</f>
        <v>1459.6153846153845</v>
      </c>
    </row>
    <row r="479" spans="1:16" s="305" customFormat="1">
      <c r="A479" s="226" t="str">
        <f>L_CViec!A397</f>
        <v>17</v>
      </c>
      <c r="B479" s="227" t="str">
        <f>L_CViec!B397</f>
        <v>Nhập nội dung xác nhận vào tệp (File) dữ liệu hồ sơ số</v>
      </c>
      <c r="C479" s="226" t="str">
        <f>L_CViec!AD397</f>
        <v>Thửa</v>
      </c>
      <c r="D479" s="226">
        <f>L_CViec!AC397</f>
        <v>1</v>
      </c>
      <c r="E479" s="226" t="str">
        <f>L_CViec!AE397</f>
        <v>1KS3</v>
      </c>
      <c r="F479" s="226" t="str">
        <f>L_CViec!AF397</f>
        <v>1-3</v>
      </c>
      <c r="G479" s="226">
        <f>L_CViec!AG397</f>
        <v>6.0000000000000001E-3</v>
      </c>
      <c r="H479" s="283">
        <f>L_CViec!AH397</f>
        <v>6.0000000000000001E-3</v>
      </c>
      <c r="I479" s="283">
        <f>L_CViec!AI397</f>
        <v>6.0000000000000001E-3</v>
      </c>
      <c r="J479" s="718">
        <f>L_CViec!AJ397</f>
        <v>360525</v>
      </c>
      <c r="K479" s="127">
        <f t="shared" si="77"/>
        <v>2163.15</v>
      </c>
      <c r="L479" s="127">
        <f t="shared" si="78"/>
        <v>2163.15</v>
      </c>
      <c r="M479" s="608">
        <f t="shared" si="79"/>
        <v>2163.15</v>
      </c>
      <c r="N479" s="718">
        <f>$D479*G479*L_CBac!$J$68</f>
        <v>58.384615384615387</v>
      </c>
      <c r="O479" s="718">
        <f>$D479*H479*L_CBac!$J$68</f>
        <v>58.384615384615387</v>
      </c>
      <c r="P479" s="718">
        <f>$D479*I479*L_CBac!$J$68</f>
        <v>58.384615384615387</v>
      </c>
    </row>
    <row r="480" spans="1:16" s="305" customFormat="1" ht="25.5" customHeight="1">
      <c r="A480" s="226" t="str">
        <f>L_CViec!A398</f>
        <v>18</v>
      </c>
      <c r="B480" s="227" t="str">
        <f>L_CViec!B398</f>
        <v>Trích lục bản đồ địa chính hoặc trích đo bản đồ địa chính</v>
      </c>
      <c r="C480" s="226">
        <f>L_CViec!AD398</f>
        <v>0</v>
      </c>
      <c r="D480" s="226">
        <f>L_CViec!AC398</f>
        <v>0</v>
      </c>
      <c r="E480" s="226">
        <f>L_CViec!AE398</f>
        <v>0</v>
      </c>
      <c r="F480" s="226">
        <f>L_CViec!AF398</f>
        <v>0</v>
      </c>
      <c r="G480" s="226">
        <f>L_CViec!AG398</f>
        <v>0</v>
      </c>
      <c r="H480" s="283">
        <f>L_CViec!AH398</f>
        <v>0</v>
      </c>
      <c r="I480" s="283">
        <f>L_CViec!AI398</f>
        <v>0</v>
      </c>
      <c r="J480" s="718">
        <f>L_CViec!AJ398</f>
        <v>0</v>
      </c>
      <c r="K480" s="127">
        <f t="shared" si="77"/>
        <v>0</v>
      </c>
      <c r="L480" s="127">
        <f t="shared" si="78"/>
        <v>0</v>
      </c>
      <c r="M480" s="127">
        <f t="shared" si="79"/>
        <v>0</v>
      </c>
      <c r="N480" s="718">
        <f>$D480*G480*L_CBac!$J$68</f>
        <v>0</v>
      </c>
      <c r="O480" s="718">
        <f>$D480*H480*L_CBac!$J$68</f>
        <v>0</v>
      </c>
      <c r="P480" s="718">
        <f>$D480*I480*L_CBac!$J$68</f>
        <v>0</v>
      </c>
    </row>
    <row r="481" spans="1:16" s="305" customFormat="1">
      <c r="A481" s="226" t="str">
        <f>L_CViec!A399</f>
        <v>18.1</v>
      </c>
      <c r="B481" s="227" t="str">
        <f>L_CViec!B399</f>
        <v>Trích lục trên bản đồ dạng số</v>
      </c>
      <c r="C481" s="226" t="str">
        <f>L_CViec!AD399</f>
        <v>Hồ sơ</v>
      </c>
      <c r="D481" s="226">
        <f>L_CViec!AC399</f>
        <v>1</v>
      </c>
      <c r="E481" s="226" t="str">
        <f>L_CViec!AE399</f>
        <v>1KS2</v>
      </c>
      <c r="F481" s="226" t="str">
        <f>L_CViec!AF399</f>
        <v>1-3</v>
      </c>
      <c r="G481" s="226">
        <f>L_CViec!AG399</f>
        <v>0.05</v>
      </c>
      <c r="H481" s="283">
        <f>L_CViec!AH399</f>
        <v>0</v>
      </c>
      <c r="I481" s="283">
        <f>L_CViec!AI399</f>
        <v>0.05</v>
      </c>
      <c r="J481" s="718">
        <f>L_CViec!AJ399</f>
        <v>320867.25</v>
      </c>
      <c r="K481" s="127">
        <f t="shared" si="77"/>
        <v>16043.362500000001</v>
      </c>
      <c r="L481" s="127">
        <f t="shared" si="78"/>
        <v>0</v>
      </c>
      <c r="M481" s="608">
        <f>I481*$J481</f>
        <v>16043.362500000001</v>
      </c>
      <c r="N481" s="718">
        <f>$D481*G481*L_CBac!$J$68</f>
        <v>486.53846153846155</v>
      </c>
      <c r="O481" s="718">
        <f>$D481*H481*L_CBac!$J$68</f>
        <v>0</v>
      </c>
      <c r="P481" s="718">
        <f>$D481*I481*L_CBac!$J$68</f>
        <v>486.53846153846155</v>
      </c>
    </row>
    <row r="482" spans="1:16" s="50" customFormat="1">
      <c r="A482" s="226" t="str">
        <f>L_CViec!A400</f>
        <v>18.2</v>
      </c>
      <c r="B482" s="227" t="str">
        <f>L_CViec!B400</f>
        <v>Trích lục trên bản đồ dạng giấy</v>
      </c>
      <c r="C482" s="226" t="str">
        <f>L_CViec!AD400</f>
        <v>Hồ sơ</v>
      </c>
      <c r="D482" s="226">
        <f>L_CViec!AC400</f>
        <v>1</v>
      </c>
      <c r="E482" s="226" t="str">
        <f>L_CViec!AE400</f>
        <v>1KS2</v>
      </c>
      <c r="F482" s="226" t="str">
        <f>L_CViec!AF400</f>
        <v>1-3</v>
      </c>
      <c r="G482" s="226">
        <f>L_CViec!AG400</f>
        <v>0.1</v>
      </c>
      <c r="H482" s="283">
        <f>L_CViec!AH400</f>
        <v>0</v>
      </c>
      <c r="I482" s="283">
        <f>L_CViec!AI400</f>
        <v>0.1</v>
      </c>
      <c r="J482" s="718">
        <f>L_CViec!AJ400</f>
        <v>320867.25</v>
      </c>
      <c r="K482" s="127">
        <f t="shared" si="77"/>
        <v>32086.725000000002</v>
      </c>
      <c r="L482" s="127">
        <f t="shared" si="78"/>
        <v>0</v>
      </c>
      <c r="M482" s="127">
        <f t="shared" si="79"/>
        <v>32086.725000000002</v>
      </c>
      <c r="N482" s="718">
        <f>$D482*G482*L_CBac!$J$68</f>
        <v>973.07692307692309</v>
      </c>
      <c r="O482" s="718">
        <f>$D482*H482*L_CBac!$J$68</f>
        <v>0</v>
      </c>
      <c r="P482" s="718">
        <f>$D482*I482*L_CBac!$J$68</f>
        <v>973.07692307692309</v>
      </c>
    </row>
    <row r="483" spans="1:16" s="50" customFormat="1" ht="26">
      <c r="A483" s="226">
        <f>L_CViec!A401</f>
        <v>19</v>
      </c>
      <c r="B483" s="227" t="str">
        <f>L_CViec!B401</f>
        <v>Lập và gửi Phiếu chuyển thông tin để xác định nghĩa vụ tài chính về đất đai (nếu có)</v>
      </c>
      <c r="C483" s="226">
        <f>L_CViec!AD401</f>
        <v>0</v>
      </c>
      <c r="D483" s="226">
        <f>L_CViec!AC401</f>
        <v>0</v>
      </c>
      <c r="E483" s="226">
        <f>L_CViec!AE401</f>
        <v>0</v>
      </c>
      <c r="F483" s="226">
        <f>L_CViec!AF401</f>
        <v>0</v>
      </c>
      <c r="G483" s="226">
        <f>L_CViec!AG401</f>
        <v>0</v>
      </c>
      <c r="H483" s="283">
        <f>L_CViec!AH401</f>
        <v>0</v>
      </c>
      <c r="I483" s="283">
        <f>L_CViec!AI401</f>
        <v>0</v>
      </c>
      <c r="J483" s="718">
        <f>L_CViec!AJ401</f>
        <v>0</v>
      </c>
      <c r="K483" s="127">
        <f t="shared" si="77"/>
        <v>0</v>
      </c>
      <c r="L483" s="127">
        <f t="shared" si="78"/>
        <v>0</v>
      </c>
      <c r="M483" s="127">
        <f t="shared" si="79"/>
        <v>0</v>
      </c>
      <c r="N483" s="718">
        <f>$D483*G483*L_CBac!$J$68</f>
        <v>0</v>
      </c>
      <c r="O483" s="718">
        <f>$D483*H483*L_CBac!$J$68</f>
        <v>0</v>
      </c>
      <c r="P483" s="718">
        <f>$D483*I483*L_CBac!$J$68</f>
        <v>0</v>
      </c>
    </row>
    <row r="484" spans="1:16" s="66" customFormat="1">
      <c r="A484" s="226">
        <f>L_CViec!A402</f>
        <v>19.100000000000001</v>
      </c>
      <c r="B484" s="227" t="str">
        <f>L_CViec!B402</f>
        <v>Chuyển thông tin theo hình thức liên thông</v>
      </c>
      <c r="C484" s="226" t="str">
        <f>L_CViec!AD402</f>
        <v>Hồ sơ</v>
      </c>
      <c r="D484" s="226">
        <f>L_CViec!AC402</f>
        <v>1</v>
      </c>
      <c r="E484" s="226" t="str">
        <f>L_CViec!AE402</f>
        <v>1KS3</v>
      </c>
      <c r="F484" s="226" t="str">
        <f>L_CViec!AF402</f>
        <v>1-3</v>
      </c>
      <c r="G484" s="226">
        <f>L_CViec!AG402</f>
        <v>0.03</v>
      </c>
      <c r="H484" s="283">
        <f>L_CViec!AH402</f>
        <v>0.03</v>
      </c>
      <c r="I484" s="283">
        <f>L_CViec!AI402</f>
        <v>0.03</v>
      </c>
      <c r="J484" s="718">
        <f>L_CViec!AJ402</f>
        <v>360525</v>
      </c>
      <c r="K484" s="127">
        <f t="shared" si="77"/>
        <v>10815.75</v>
      </c>
      <c r="L484" s="127">
        <f t="shared" si="78"/>
        <v>10815.75</v>
      </c>
      <c r="M484" s="608">
        <f t="shared" si="79"/>
        <v>10815.75</v>
      </c>
      <c r="N484" s="718">
        <f>$D484*G484*L_CBac!$J$68</f>
        <v>291.92307692307691</v>
      </c>
      <c r="O484" s="718">
        <f>$D484*H484*L_CBac!$J$68</f>
        <v>291.92307692307691</v>
      </c>
      <c r="P484" s="718">
        <f>$D484*I484*L_CBac!$J$68</f>
        <v>291.92307692307691</v>
      </c>
    </row>
    <row r="485" spans="1:16" s="66" customFormat="1">
      <c r="A485" s="226">
        <f>L_CViec!A403</f>
        <v>19.2</v>
      </c>
      <c r="B485" s="227" t="str">
        <f>L_CViec!B403</f>
        <v>Chuyển thông tin theo hình thức trực tiếp</v>
      </c>
      <c r="C485" s="226" t="str">
        <f>L_CViec!AD403</f>
        <v>Hồ sơ</v>
      </c>
      <c r="D485" s="226">
        <f>L_CViec!AC403</f>
        <v>1</v>
      </c>
      <c r="E485" s="226" t="str">
        <f>L_CViec!AE403</f>
        <v>1KS3</v>
      </c>
      <c r="F485" s="226" t="str">
        <f>L_CViec!AF403</f>
        <v>1-3</v>
      </c>
      <c r="G485" s="226">
        <f>L_CViec!AG403</f>
        <v>0.04</v>
      </c>
      <c r="H485" s="283">
        <f>L_CViec!AH403</f>
        <v>0.04</v>
      </c>
      <c r="I485" s="283">
        <f>L_CViec!AI403</f>
        <v>0.04</v>
      </c>
      <c r="J485" s="718">
        <f>L_CViec!AJ403</f>
        <v>360525</v>
      </c>
      <c r="K485" s="127">
        <f t="shared" si="77"/>
        <v>14421</v>
      </c>
      <c r="L485" s="127">
        <f t="shared" si="78"/>
        <v>14421</v>
      </c>
      <c r="M485" s="127">
        <f t="shared" si="79"/>
        <v>14421</v>
      </c>
      <c r="N485" s="718">
        <f>$D485*G485*L_CBac!$J$68</f>
        <v>389.23076923076923</v>
      </c>
      <c r="O485" s="718">
        <f>$D485*H485*L_CBac!$J$68</f>
        <v>389.23076923076923</v>
      </c>
      <c r="P485" s="718">
        <f>$D485*I485*L_CBac!$J$68</f>
        <v>389.23076923076923</v>
      </c>
    </row>
    <row r="486" spans="1:16" s="66" customFormat="1" ht="26">
      <c r="A486" s="226">
        <f>L_CViec!A404</f>
        <v>20</v>
      </c>
      <c r="B486" s="227" t="str">
        <f>L_CViec!B404</f>
        <v>Nhận thông báo của cơ quan thuế về việc hoàn thành nghĩa vụ tài chính</v>
      </c>
      <c r="C486" s="226">
        <f>L_CViec!AD404</f>
        <v>0</v>
      </c>
      <c r="D486" s="226">
        <f>L_CViec!AC404</f>
        <v>0</v>
      </c>
      <c r="E486" s="226">
        <f>L_CViec!AE404</f>
        <v>0</v>
      </c>
      <c r="F486" s="226">
        <f>L_CViec!AF404</f>
        <v>0</v>
      </c>
      <c r="G486" s="226">
        <f>L_CViec!AG404</f>
        <v>0</v>
      </c>
      <c r="H486" s="283">
        <f>L_CViec!AH404</f>
        <v>0</v>
      </c>
      <c r="I486" s="283">
        <f>L_CViec!AI404</f>
        <v>0</v>
      </c>
      <c r="J486" s="718">
        <f>L_CViec!AJ404</f>
        <v>0</v>
      </c>
      <c r="K486" s="127">
        <f t="shared" si="77"/>
        <v>0</v>
      </c>
      <c r="L486" s="127">
        <f t="shared" si="78"/>
        <v>0</v>
      </c>
      <c r="M486" s="127">
        <f t="shared" si="79"/>
        <v>0</v>
      </c>
      <c r="N486" s="718">
        <f>$D486*G486*L_CBac!$J$68</f>
        <v>0</v>
      </c>
      <c r="O486" s="718">
        <f>$D486*H486*L_CBac!$J$68</f>
        <v>0</v>
      </c>
      <c r="P486" s="718">
        <f>$D486*I486*L_CBac!$J$68</f>
        <v>0</v>
      </c>
    </row>
    <row r="487" spans="1:16" s="50" customFormat="1">
      <c r="A487" s="226">
        <f>L_CViec!A405</f>
        <v>20.100000000000001</v>
      </c>
      <c r="B487" s="227" t="str">
        <f>L_CViec!B405</f>
        <v>Chuyển thông tin theo hình thức liên thông</v>
      </c>
      <c r="C487" s="226" t="str">
        <f>L_CViec!AD405</f>
        <v>Hồ sơ</v>
      </c>
      <c r="D487" s="226">
        <f>L_CViec!AC405</f>
        <v>1</v>
      </c>
      <c r="E487" s="226" t="str">
        <f>L_CViec!AE405</f>
        <v>1KS2</v>
      </c>
      <c r="F487" s="226" t="str">
        <f>L_CViec!AF405</f>
        <v>1-3</v>
      </c>
      <c r="G487" s="226">
        <f>L_CViec!AG405</f>
        <v>0.04</v>
      </c>
      <c r="H487" s="283">
        <f>L_CViec!AH405</f>
        <v>0.04</v>
      </c>
      <c r="I487" s="283">
        <f>L_CViec!AI405</f>
        <v>0.04</v>
      </c>
      <c r="J487" s="718">
        <f>L_CViec!AJ405</f>
        <v>320867.25</v>
      </c>
      <c r="K487" s="127">
        <f t="shared" si="77"/>
        <v>12834.69</v>
      </c>
      <c r="L487" s="127">
        <f t="shared" si="78"/>
        <v>12834.69</v>
      </c>
      <c r="M487" s="608">
        <f t="shared" si="79"/>
        <v>12834.69</v>
      </c>
      <c r="N487" s="718">
        <f>$D487*G487*L_CBac!$J$68</f>
        <v>389.23076923076923</v>
      </c>
      <c r="O487" s="718">
        <f>$D487*H487*L_CBac!$J$68</f>
        <v>389.23076923076923</v>
      </c>
      <c r="P487" s="718">
        <f>$D487*I487*L_CBac!$J$68</f>
        <v>389.23076923076923</v>
      </c>
    </row>
    <row r="488" spans="1:16" s="50" customFormat="1">
      <c r="A488" s="226">
        <f>L_CViec!A406</f>
        <v>20.2</v>
      </c>
      <c r="B488" s="227" t="str">
        <f>L_CViec!B406</f>
        <v>Chuyển thông tin theo hình thức trực tiếp</v>
      </c>
      <c r="C488" s="226" t="str">
        <f>L_CViec!AD406</f>
        <v>Hồ sơ</v>
      </c>
      <c r="D488" s="226">
        <f>L_CViec!AC406</f>
        <v>1</v>
      </c>
      <c r="E488" s="226" t="str">
        <f>L_CViec!AE406</f>
        <v>1KS2</v>
      </c>
      <c r="F488" s="226" t="str">
        <f>L_CViec!AF406</f>
        <v>1-3</v>
      </c>
      <c r="G488" s="226">
        <f>L_CViec!AG406</f>
        <v>0.03</v>
      </c>
      <c r="H488" s="283">
        <f>L_CViec!AH406</f>
        <v>0.03</v>
      </c>
      <c r="I488" s="283">
        <f>L_CViec!AI406</f>
        <v>0.03</v>
      </c>
      <c r="J488" s="718">
        <f>L_CViec!AJ406</f>
        <v>320867.25</v>
      </c>
      <c r="K488" s="127">
        <f t="shared" si="77"/>
        <v>9626.0174999999999</v>
      </c>
      <c r="L488" s="127">
        <f t="shared" si="78"/>
        <v>9626.0174999999999</v>
      </c>
      <c r="M488" s="127">
        <f t="shared" si="79"/>
        <v>9626.0174999999999</v>
      </c>
      <c r="N488" s="718">
        <f>$D488*G488*L_CBac!$J$68</f>
        <v>291.92307692307691</v>
      </c>
      <c r="O488" s="718">
        <f>$D488*H488*L_CBac!$J$68</f>
        <v>291.92307692307691</v>
      </c>
      <c r="P488" s="718">
        <f>$D488*I488*L_CBac!$J$68</f>
        <v>291.92307692307691</v>
      </c>
    </row>
    <row r="489" spans="1:16" s="50" customFormat="1" ht="26">
      <c r="A489" s="226" t="str">
        <f>L_CViec!A407</f>
        <v>21</v>
      </c>
      <c r="B489" s="227" t="str">
        <f>L_CViec!B407</f>
        <v>Nhập thông tin về nghĩa vụ tài chính, đăng ký vào hồ sơ địa chính</v>
      </c>
      <c r="C489" s="226" t="str">
        <f>L_CViec!AD407</f>
        <v>Thửa</v>
      </c>
      <c r="D489" s="226">
        <f>L_CViec!AC407</f>
        <v>1</v>
      </c>
      <c r="E489" s="226" t="str">
        <f>L_CViec!AE407</f>
        <v>1KS3</v>
      </c>
      <c r="F489" s="226" t="str">
        <f>L_CViec!AF407</f>
        <v>1-3</v>
      </c>
      <c r="G489" s="226">
        <f>L_CViec!AG407</f>
        <v>0.03</v>
      </c>
      <c r="H489" s="283">
        <f>L_CViec!AH407</f>
        <v>0.17100000000000001</v>
      </c>
      <c r="I489" s="283">
        <f>L_CViec!AI407</f>
        <v>0.23499999999999999</v>
      </c>
      <c r="J489" s="718">
        <f>L_CViec!AJ407</f>
        <v>360525</v>
      </c>
      <c r="K489" s="127">
        <f t="shared" si="77"/>
        <v>10815.75</v>
      </c>
      <c r="L489" s="127">
        <f t="shared" si="78"/>
        <v>61649.775000000001</v>
      </c>
      <c r="M489" s="608">
        <f t="shared" si="79"/>
        <v>84723.375</v>
      </c>
      <c r="N489" s="718">
        <f>$D489*G489*L_CBac!$J$68</f>
        <v>291.92307692307691</v>
      </c>
      <c r="O489" s="718">
        <f>$D489*H489*L_CBac!$J$68</f>
        <v>1663.9615384615386</v>
      </c>
      <c r="P489" s="718">
        <f>$D489*I489*L_CBac!$J$68</f>
        <v>2286.7307692307691</v>
      </c>
    </row>
    <row r="490" spans="1:16" s="50" customFormat="1">
      <c r="A490" s="226" t="str">
        <f>L_CViec!A408</f>
        <v>22</v>
      </c>
      <c r="B490" s="227" t="str">
        <f>L_CViec!B408</f>
        <v>In GCN</v>
      </c>
      <c r="C490" s="226">
        <f>L_CViec!AD408</f>
        <v>0</v>
      </c>
      <c r="D490" s="226">
        <f>L_CViec!AC408</f>
        <v>0</v>
      </c>
      <c r="E490" s="226">
        <f>L_CViec!AE408</f>
        <v>0</v>
      </c>
      <c r="F490" s="226">
        <f>L_CViec!AF408</f>
        <v>0</v>
      </c>
      <c r="G490" s="226">
        <f>L_CViec!AG408</f>
        <v>0</v>
      </c>
      <c r="H490" s="283">
        <f>L_CViec!AH408</f>
        <v>0</v>
      </c>
      <c r="I490" s="283">
        <f>L_CViec!AI408</f>
        <v>0</v>
      </c>
      <c r="J490" s="718">
        <f>L_CViec!AJ408</f>
        <v>0</v>
      </c>
      <c r="K490" s="127">
        <f t="shared" si="77"/>
        <v>0</v>
      </c>
      <c r="L490" s="127">
        <f t="shared" si="78"/>
        <v>0</v>
      </c>
      <c r="M490" s="127">
        <f t="shared" si="79"/>
        <v>0</v>
      </c>
      <c r="N490" s="707">
        <f>$D490*G490*L_CBac!$J$68</f>
        <v>0</v>
      </c>
      <c r="O490" s="707">
        <f>$D490*H490*L_CBac!$J$68</f>
        <v>0</v>
      </c>
      <c r="P490" s="707">
        <f>$D490*I490*L_CBac!$J$68</f>
        <v>0</v>
      </c>
    </row>
    <row r="491" spans="1:16" s="66" customFormat="1">
      <c r="A491" s="226" t="str">
        <f>L_CViec!A409</f>
        <v>22.1</v>
      </c>
      <c r="B491" s="227" t="str">
        <f>L_CViec!B409</f>
        <v>Trực tiếp từ cơ sở dữ liệu dạng số</v>
      </c>
      <c r="C491" s="226" t="str">
        <f>L_CViec!AD409</f>
        <v>GCN</v>
      </c>
      <c r="D491" s="226">
        <f>L_CViec!AC409</f>
        <v>1</v>
      </c>
      <c r="E491" s="226" t="str">
        <f>L_CViec!AE409</f>
        <v>1KS2</v>
      </c>
      <c r="F491" s="226" t="str">
        <f>L_CViec!AF409</f>
        <v>1-3</v>
      </c>
      <c r="G491" s="226">
        <f>L_CViec!AG409</f>
        <v>0.1</v>
      </c>
      <c r="H491" s="283">
        <f>L_CViec!AH409</f>
        <v>0.1</v>
      </c>
      <c r="I491" s="283">
        <f>L_CViec!AI409</f>
        <v>0.1</v>
      </c>
      <c r="J491" s="718">
        <f>L_CViec!AJ409</f>
        <v>320867.25</v>
      </c>
      <c r="K491" s="127">
        <f t="shared" si="77"/>
        <v>32086.725000000002</v>
      </c>
      <c r="L491" s="127">
        <f t="shared" si="78"/>
        <v>32086.725000000002</v>
      </c>
      <c r="M491" s="608">
        <f t="shared" si="79"/>
        <v>32086.725000000002</v>
      </c>
      <c r="N491" s="718">
        <f>$D491*G491*L_CBac!$J$68</f>
        <v>973.07692307692309</v>
      </c>
      <c r="O491" s="718">
        <f>$D491*H491*L_CBac!$J$68</f>
        <v>973.07692307692309</v>
      </c>
      <c r="P491" s="718">
        <f>$D491*I491*L_CBac!$J$68</f>
        <v>973.07692307692309</v>
      </c>
    </row>
    <row r="492" spans="1:16" s="66" customFormat="1">
      <c r="A492" s="226" t="str">
        <f>L_CViec!A410</f>
        <v>22.2</v>
      </c>
      <c r="B492" s="227" t="str">
        <f>L_CViec!B410</f>
        <v>Đối với những nơi chưa có bản đồ dạng số</v>
      </c>
      <c r="C492" s="226" t="str">
        <f>L_CViec!AD410</f>
        <v>GCN</v>
      </c>
      <c r="D492" s="226">
        <f>L_CViec!AC410</f>
        <v>1</v>
      </c>
      <c r="E492" s="226" t="str">
        <f>L_CViec!AE410</f>
        <v>1KS2</v>
      </c>
      <c r="F492" s="226" t="str">
        <f>L_CViec!AF410</f>
        <v>1-3</v>
      </c>
      <c r="G492" s="226">
        <f>L_CViec!AG410</f>
        <v>0.15</v>
      </c>
      <c r="H492" s="283">
        <f>L_CViec!AH410</f>
        <v>0.2</v>
      </c>
      <c r="I492" s="283">
        <f>L_CViec!AI410</f>
        <v>0.2</v>
      </c>
      <c r="J492" s="718">
        <f>L_CViec!AJ410</f>
        <v>320867.25</v>
      </c>
      <c r="K492" s="127">
        <f t="shared" si="77"/>
        <v>48130.087500000001</v>
      </c>
      <c r="L492" s="127">
        <f t="shared" si="78"/>
        <v>64173.450000000004</v>
      </c>
      <c r="M492" s="127">
        <f t="shared" si="79"/>
        <v>64173.450000000004</v>
      </c>
      <c r="N492" s="718">
        <f>$D492*G492*L_CBac!$J$68</f>
        <v>1459.6153846153845</v>
      </c>
      <c r="O492" s="718">
        <f>$D492*H492*L_CBac!$J$68</f>
        <v>1946.1538461538462</v>
      </c>
      <c r="P492" s="718">
        <f>$D492*I492*L_CBac!$J$68</f>
        <v>1946.1538461538462</v>
      </c>
    </row>
    <row r="493" spans="1:16" s="66" customFormat="1">
      <c r="A493" s="226" t="str">
        <f>L_CViec!A411</f>
        <v>23</v>
      </c>
      <c r="B493" s="227" t="str">
        <f>L_CViec!B411</f>
        <v>Xác nhận nội dung biến động trên GCN hoặc cấp GCN mới</v>
      </c>
      <c r="C493" s="226" t="str">
        <f>L_CViec!AD411</f>
        <v>GCN</v>
      </c>
      <c r="D493" s="226">
        <f>L_CViec!AC411</f>
        <v>1</v>
      </c>
      <c r="E493" s="226" t="str">
        <f>L_CViec!AE411</f>
        <v>1KS2</v>
      </c>
      <c r="F493" s="226" t="str">
        <f>L_CViec!AF411</f>
        <v>1-3</v>
      </c>
      <c r="G493" s="226">
        <f>L_CViec!AG411</f>
        <v>0.1</v>
      </c>
      <c r="H493" s="283">
        <f>L_CViec!AH411</f>
        <v>0.1</v>
      </c>
      <c r="I493" s="283">
        <f>L_CViec!AI411</f>
        <v>0.1</v>
      </c>
      <c r="J493" s="718">
        <f>L_CViec!AJ411</f>
        <v>320867.25</v>
      </c>
      <c r="K493" s="127">
        <f t="shared" si="77"/>
        <v>32086.725000000002</v>
      </c>
      <c r="L493" s="127">
        <f t="shared" si="78"/>
        <v>32086.725000000002</v>
      </c>
      <c r="M493" s="608">
        <f t="shared" si="79"/>
        <v>32086.725000000002</v>
      </c>
      <c r="N493" s="718">
        <f>$D493*G493*L_CBac!$J$68</f>
        <v>973.07692307692309</v>
      </c>
      <c r="O493" s="718">
        <f>$D493*H493*L_CBac!$J$68</f>
        <v>973.07692307692309</v>
      </c>
      <c r="P493" s="718">
        <f>$D493*I493*L_CBac!$J$68</f>
        <v>973.07692307692309</v>
      </c>
    </row>
    <row r="494" spans="1:16" s="66" customFormat="1" ht="30.75" customHeight="1">
      <c r="A494" s="226" t="str">
        <f>L_CViec!A412</f>
        <v>24</v>
      </c>
      <c r="B494" s="227" t="str">
        <f>L_CViec!B412</f>
        <v>Thu hồi Giấy chứng nhận đã cấp của bên thuê, bên thuê lại đất đối với trường hợp xóa cho thuê, cho thuê lại đất</v>
      </c>
      <c r="C494" s="226" t="str">
        <f>L_CViec!AD412</f>
        <v>GCN</v>
      </c>
      <c r="D494" s="226">
        <f>L_CViec!AC412</f>
        <v>1</v>
      </c>
      <c r="E494" s="226" t="str">
        <f>L_CViec!AE412</f>
        <v>1KS2</v>
      </c>
      <c r="F494" s="226" t="str">
        <f>L_CViec!AF412</f>
        <v>1-3</v>
      </c>
      <c r="G494" s="226">
        <f>L_CViec!AG412</f>
        <v>0.1</v>
      </c>
      <c r="H494" s="283">
        <f>L_CViec!AH412</f>
        <v>0.1</v>
      </c>
      <c r="I494" s="283">
        <f>L_CViec!AI412</f>
        <v>0.1</v>
      </c>
      <c r="J494" s="718">
        <f>L_CViec!AJ412</f>
        <v>320867.25</v>
      </c>
      <c r="K494" s="127">
        <f t="shared" si="77"/>
        <v>32086.725000000002</v>
      </c>
      <c r="L494" s="127">
        <f t="shared" si="78"/>
        <v>32086.725000000002</v>
      </c>
      <c r="M494" s="608">
        <f t="shared" si="79"/>
        <v>32086.725000000002</v>
      </c>
      <c r="N494" s="718">
        <f>$D494*G494*L_CBac!$J$68</f>
        <v>973.07692307692309</v>
      </c>
      <c r="O494" s="718">
        <f>$D494*H494*L_CBac!$J$68</f>
        <v>973.07692307692309</v>
      </c>
      <c r="P494" s="718">
        <f>$D494*I494*L_CBac!$J$68</f>
        <v>973.07692307692309</v>
      </c>
    </row>
    <row r="495" spans="1:16" s="66" customFormat="1" ht="30.75" customHeight="1">
      <c r="A495" s="226" t="str">
        <f>L_CViec!A413</f>
        <v>25</v>
      </c>
      <c r="B495" s="227" t="str">
        <f>L_CViec!B413</f>
        <v>Nhập thông tin vào Sổ cấp giấy; gửi thông báo biến động cho cấp tỉnh, xã</v>
      </c>
      <c r="C495" s="226" t="str">
        <f>L_CViec!AD413</f>
        <v>Hồ sơ</v>
      </c>
      <c r="D495" s="226">
        <f>L_CViec!AC413</f>
        <v>1</v>
      </c>
      <c r="E495" s="226" t="str">
        <f>L_CViec!AE413</f>
        <v>1KS2</v>
      </c>
      <c r="F495" s="226" t="str">
        <f>L_CViec!AF413</f>
        <v>1-3</v>
      </c>
      <c r="G495" s="226">
        <f>L_CViec!AG413</f>
        <v>0.37</v>
      </c>
      <c r="H495" s="283">
        <f>L_CViec!AH413</f>
        <v>0.37</v>
      </c>
      <c r="I495" s="283">
        <f>L_CViec!AI413</f>
        <v>0.44400000000000001</v>
      </c>
      <c r="J495" s="718">
        <f>L_CViec!AJ413</f>
        <v>320867.25</v>
      </c>
      <c r="K495" s="127">
        <f t="shared" si="77"/>
        <v>118720.88249999999</v>
      </c>
      <c r="L495" s="127">
        <f t="shared" si="78"/>
        <v>118720.88249999999</v>
      </c>
      <c r="M495" s="608">
        <f t="shared" si="79"/>
        <v>142465.05900000001</v>
      </c>
      <c r="N495" s="718">
        <f>$D495*G495*L_CBac!$J$68</f>
        <v>3600.3846153846152</v>
      </c>
      <c r="O495" s="718">
        <f>$D495*H495*L_CBac!$J$68</f>
        <v>3600.3846153846152</v>
      </c>
      <c r="P495" s="718">
        <f>$D495*I495*L_CBac!$J$68</f>
        <v>4320.4615384615381</v>
      </c>
    </row>
    <row r="496" spans="1:16" s="66" customFormat="1" ht="19.5" customHeight="1">
      <c r="A496" s="226" t="str">
        <f>L_CViec!A414</f>
        <v>26</v>
      </c>
      <c r="B496" s="227" t="str">
        <f>L_CViec!B414</f>
        <v>Nhập bổ sung thông tin dữ liệu về GCN</v>
      </c>
      <c r="C496" s="226" t="str">
        <f>L_CViec!AD414</f>
        <v>Thửa</v>
      </c>
      <c r="D496" s="226">
        <f>L_CViec!AC414</f>
        <v>1</v>
      </c>
      <c r="E496" s="226" t="str">
        <f>L_CViec!AE414</f>
        <v>1KS3</v>
      </c>
      <c r="F496" s="226" t="str">
        <f>L_CViec!AF414</f>
        <v>1-3</v>
      </c>
      <c r="G496" s="226">
        <f>L_CViec!AG414</f>
        <v>3.3000000000000002E-2</v>
      </c>
      <c r="H496" s="283">
        <f>L_CViec!AH414</f>
        <v>3.3000000000000002E-2</v>
      </c>
      <c r="I496" s="283">
        <f>L_CViec!AI414</f>
        <v>3.3000000000000002E-2</v>
      </c>
      <c r="J496" s="718">
        <f>L_CViec!AJ414</f>
        <v>360525</v>
      </c>
      <c r="K496" s="127">
        <f t="shared" si="77"/>
        <v>11897.325000000001</v>
      </c>
      <c r="L496" s="127">
        <f t="shared" si="78"/>
        <v>11897.325000000001</v>
      </c>
      <c r="M496" s="608">
        <f t="shared" si="79"/>
        <v>11897.325000000001</v>
      </c>
      <c r="N496" s="718">
        <f>$D496*G496*L_CBac!$J$68</f>
        <v>321.11538461538464</v>
      </c>
      <c r="O496" s="718">
        <f>$D496*H496*L_CBac!$J$68</f>
        <v>321.11538461538464</v>
      </c>
      <c r="P496" s="718">
        <f>$D496*I496*L_CBac!$J$68</f>
        <v>321.11538461538464</v>
      </c>
    </row>
    <row r="497" spans="1:18" s="66" customFormat="1" ht="26">
      <c r="A497" s="226" t="str">
        <f>L_CViec!A415</f>
        <v>27</v>
      </c>
      <c r="B497" s="227" t="str">
        <f>L_CViec!B415</f>
        <v>Quét giấy tờ pháp lý về quyền sử dụng đất, quyền sở hữu nhà ở và tài sản khác gắn liền với đất</v>
      </c>
      <c r="C497" s="226">
        <f>L_CViec!AD415</f>
        <v>0</v>
      </c>
      <c r="D497" s="226">
        <f>L_CViec!AC415</f>
        <v>0</v>
      </c>
      <c r="E497" s="226">
        <f>L_CViec!AE415</f>
        <v>0</v>
      </c>
      <c r="F497" s="226">
        <f>L_CViec!AF415</f>
        <v>0</v>
      </c>
      <c r="G497" s="226">
        <f>L_CViec!AG415</f>
        <v>0</v>
      </c>
      <c r="H497" s="283">
        <f>L_CViec!AH415</f>
        <v>0</v>
      </c>
      <c r="I497" s="283">
        <f>L_CViec!AI415</f>
        <v>0</v>
      </c>
      <c r="J497" s="718">
        <f>L_CViec!AJ415</f>
        <v>0</v>
      </c>
      <c r="K497" s="127">
        <f t="shared" si="77"/>
        <v>0</v>
      </c>
      <c r="L497" s="127">
        <f t="shared" si="78"/>
        <v>0</v>
      </c>
      <c r="M497" s="127">
        <f t="shared" si="79"/>
        <v>0</v>
      </c>
      <c r="N497" s="718">
        <f>$D497*G497*L_CBac!$J$68</f>
        <v>0</v>
      </c>
      <c r="O497" s="718">
        <f>$D497*H497*L_CBac!$J$68</f>
        <v>0</v>
      </c>
      <c r="P497" s="718">
        <f>$D497*I497*L_CBac!$J$68</f>
        <v>0</v>
      </c>
    </row>
    <row r="498" spans="1:18" s="66" customFormat="1">
      <c r="A498" s="226" t="str">
        <f>L_CViec!A416</f>
        <v>27.1</v>
      </c>
      <c r="B498" s="227" t="str">
        <f>L_CViec!B416</f>
        <v>Quét trang A3</v>
      </c>
      <c r="C498" s="226" t="str">
        <f>L_CViec!AD416</f>
        <v>Trang</v>
      </c>
      <c r="D498" s="226">
        <f>L_CViec!AC416</f>
        <v>1</v>
      </c>
      <c r="E498" s="226" t="str">
        <f>L_CViec!AE416</f>
        <v>1KS1</v>
      </c>
      <c r="F498" s="226" t="str">
        <f>L_CViec!AF416</f>
        <v>1-3</v>
      </c>
      <c r="G498" s="226">
        <f>L_CViec!AG416</f>
        <v>1.6E-2</v>
      </c>
      <c r="H498" s="283">
        <f>L_CViec!AH416</f>
        <v>1.6E-2</v>
      </c>
      <c r="I498" s="283">
        <f>L_CViec!AI416</f>
        <v>0.02</v>
      </c>
      <c r="J498" s="718">
        <f>L_CViec!AJ416</f>
        <v>281209.5</v>
      </c>
      <c r="K498" s="127">
        <f t="shared" si="77"/>
        <v>4499.3519999999999</v>
      </c>
      <c r="L498" s="127">
        <f t="shared" si="78"/>
        <v>4499.3519999999999</v>
      </c>
      <c r="M498" s="127">
        <f t="shared" si="79"/>
        <v>5624.1900000000005</v>
      </c>
      <c r="N498" s="718">
        <f>$D498*G498*L_CBac!$J$68</f>
        <v>155.69230769230768</v>
      </c>
      <c r="O498" s="718">
        <f>$D498*H498*L_CBac!$J$68</f>
        <v>155.69230769230768</v>
      </c>
      <c r="P498" s="718">
        <f>$D498*I498*L_CBac!$J$68</f>
        <v>194.61538461538461</v>
      </c>
    </row>
    <row r="499" spans="1:18" s="66" customFormat="1">
      <c r="A499" s="226" t="str">
        <f>L_CViec!A417</f>
        <v>27.2</v>
      </c>
      <c r="B499" s="227" t="str">
        <f>L_CViec!B417</f>
        <v>Quét trang A4</v>
      </c>
      <c r="C499" s="226" t="str">
        <f>L_CViec!AD417</f>
        <v>Trang</v>
      </c>
      <c r="D499" s="226">
        <f>L_CViec!AC417</f>
        <v>1</v>
      </c>
      <c r="E499" s="226" t="str">
        <f>L_CViec!AE417</f>
        <v>1KS1</v>
      </c>
      <c r="F499" s="226" t="str">
        <f>L_CViec!AF417</f>
        <v>1-3</v>
      </c>
      <c r="G499" s="226">
        <f>L_CViec!AG417</f>
        <v>8.0000000000000002E-3</v>
      </c>
      <c r="H499" s="283">
        <f>L_CViec!AH417</f>
        <v>8.0000000000000002E-3</v>
      </c>
      <c r="I499" s="283">
        <f>L_CViec!AI417</f>
        <v>0.01</v>
      </c>
      <c r="J499" s="718">
        <f>L_CViec!AJ417</f>
        <v>281209.5</v>
      </c>
      <c r="K499" s="127">
        <f t="shared" si="77"/>
        <v>2249.6759999999999</v>
      </c>
      <c r="L499" s="127">
        <f t="shared" si="78"/>
        <v>2249.6759999999999</v>
      </c>
      <c r="M499" s="127">
        <f t="shared" si="79"/>
        <v>2812.0950000000003</v>
      </c>
      <c r="N499" s="718">
        <f>$D499*G499*L_CBac!$J$68</f>
        <v>77.84615384615384</v>
      </c>
      <c r="O499" s="718">
        <f>$D499*H499*L_CBac!$J$68</f>
        <v>77.84615384615384</v>
      </c>
      <c r="P499" s="718">
        <f>$D499*I499*L_CBac!$J$68</f>
        <v>97.307692307692307</v>
      </c>
    </row>
    <row r="500" spans="1:18" s="66" customFormat="1" ht="26">
      <c r="A500" s="226" t="str">
        <f>L_CViec!A418</f>
        <v>28</v>
      </c>
      <c r="B500" s="227" t="str">
        <f>L_CViec!B418</f>
        <v>Xử lý các tệp tin quét thành tệp (File) hồ sơ quét dạng số của thửa đất, lưu trữ dưới khuôn dạng tệp tin PDF</v>
      </c>
      <c r="C500" s="226" t="str">
        <f>L_CViec!AD418</f>
        <v>Trang</v>
      </c>
      <c r="D500" s="226">
        <f>L_CViec!AC418</f>
        <v>1</v>
      </c>
      <c r="E500" s="226" t="str">
        <f>L_CViec!AE418</f>
        <v>1KS1</v>
      </c>
      <c r="F500" s="226" t="str">
        <f>L_CViec!AF418</f>
        <v>1-3</v>
      </c>
      <c r="G500" s="226">
        <f>L_CViec!AG418</f>
        <v>4.0000000000000001E-3</v>
      </c>
      <c r="H500" s="283">
        <f>L_CViec!AH418</f>
        <v>4.0000000000000001E-3</v>
      </c>
      <c r="I500" s="283">
        <f>L_CViec!AI418</f>
        <v>5.0000000000000001E-3</v>
      </c>
      <c r="J500" s="718">
        <f>L_CViec!AJ418</f>
        <v>281209.5</v>
      </c>
      <c r="K500" s="127">
        <f t="shared" si="77"/>
        <v>1124.838</v>
      </c>
      <c r="L500" s="127">
        <f t="shared" si="78"/>
        <v>1124.838</v>
      </c>
      <c r="M500" s="127">
        <f t="shared" si="79"/>
        <v>1406.0475000000001</v>
      </c>
      <c r="N500" s="718">
        <f>$D500*G500*L_CBac!$J$68</f>
        <v>38.92307692307692</v>
      </c>
      <c r="O500" s="718">
        <f>$D500*H500*L_CBac!$J$68</f>
        <v>38.92307692307692</v>
      </c>
      <c r="P500" s="718">
        <f>$D500*I500*L_CBac!$J$68</f>
        <v>48.653846153846153</v>
      </c>
    </row>
    <row r="501" spans="1:18" s="66" customFormat="1" ht="26">
      <c r="A501" s="226" t="str">
        <f>L_CViec!A419</f>
        <v>29</v>
      </c>
      <c r="B501" s="227" t="str">
        <f>L_CViec!B419</f>
        <v>Tạo liên kết hồ sơ quét dạng số với thửa đất trong cơ sở dữ liệu</v>
      </c>
      <c r="C501" s="226" t="str">
        <f>L_CViec!AD419</f>
        <v>Thửa</v>
      </c>
      <c r="D501" s="226">
        <f>L_CViec!AC419</f>
        <v>1</v>
      </c>
      <c r="E501" s="226" t="str">
        <f>L_CViec!AE419</f>
        <v>1KS1</v>
      </c>
      <c r="F501" s="226" t="str">
        <f>L_CViec!AF419</f>
        <v>1-3</v>
      </c>
      <c r="G501" s="226">
        <f>L_CViec!AG419</f>
        <v>0.01</v>
      </c>
      <c r="H501" s="283">
        <f>L_CViec!AH419</f>
        <v>0.01</v>
      </c>
      <c r="I501" s="283">
        <f>L_CViec!AI419</f>
        <v>0.01</v>
      </c>
      <c r="J501" s="718">
        <f>L_CViec!AJ419</f>
        <v>281209.5</v>
      </c>
      <c r="K501" s="127">
        <f t="shared" ref="K501:M503" si="80">G501*$J501</f>
        <v>2812.0950000000003</v>
      </c>
      <c r="L501" s="127">
        <f t="shared" si="80"/>
        <v>2812.0950000000003</v>
      </c>
      <c r="M501" s="127">
        <f t="shared" si="80"/>
        <v>2812.0950000000003</v>
      </c>
      <c r="N501" s="718">
        <f>$D501*G501*L_CBac!$J$68</f>
        <v>97.307692307692307</v>
      </c>
      <c r="O501" s="718">
        <f>$D501*H501*L_CBac!$J$68</f>
        <v>97.307692307692307</v>
      </c>
      <c r="P501" s="718">
        <f>$D501*I501*L_CBac!$J$68</f>
        <v>97.307692307692307</v>
      </c>
    </row>
    <row r="502" spans="1:18" s="66" customFormat="1" ht="65">
      <c r="A502" s="226" t="str">
        <f>L_CViec!A420</f>
        <v>30</v>
      </c>
      <c r="B502" s="227" t="str">
        <f>L_CViec!B420</f>
        <v>Chuyển Giấy chứng nhận đến Bộ phận một cửa để trao cho người sử dụng đất hoặc chuyển Giấy chứng nhận cho người sử dụng đất thông qua dịch vụ bưu chính công ích hoặc Văn phòng đăng ký đất đai nhận lại GCN cũ đang thế chấp từ tổ chức tín dụng và trao GCN mới</v>
      </c>
      <c r="C502" s="226" t="str">
        <f>L_CViec!AD420</f>
        <v>Hồ sơ</v>
      </c>
      <c r="D502" s="226">
        <f>L_CViec!AC420</f>
        <v>1</v>
      </c>
      <c r="E502" s="226" t="str">
        <f>L_CViec!AE420</f>
        <v>1KS2</v>
      </c>
      <c r="F502" s="226" t="str">
        <f>L_CViec!AF420</f>
        <v>1-3</v>
      </c>
      <c r="G502" s="226">
        <f>L_CViec!AG420</f>
        <v>0.05</v>
      </c>
      <c r="H502" s="283">
        <f>L_CViec!AH420</f>
        <v>0.05</v>
      </c>
      <c r="I502" s="283">
        <f>L_CViec!AI420</f>
        <v>6.5000000000000002E-2</v>
      </c>
      <c r="J502" s="718">
        <f>L_CViec!AJ420</f>
        <v>320867.25</v>
      </c>
      <c r="K502" s="127">
        <f t="shared" si="80"/>
        <v>16043.362500000001</v>
      </c>
      <c r="L502" s="127">
        <f t="shared" si="80"/>
        <v>16043.362500000001</v>
      </c>
      <c r="M502" s="608">
        <f t="shared" si="80"/>
        <v>20856.37125</v>
      </c>
      <c r="N502" s="718">
        <f>$D502*G502*L_CBac!$J$68</f>
        <v>486.53846153846155</v>
      </c>
      <c r="O502" s="718">
        <f>$D502*H502*L_CBac!$J$68</f>
        <v>486.53846153846155</v>
      </c>
      <c r="P502" s="718">
        <f>$D502*I502*L_CBac!$J$68</f>
        <v>632.5</v>
      </c>
    </row>
    <row r="503" spans="1:18" s="66" customFormat="1" ht="24" customHeight="1">
      <c r="A503" s="226" t="str">
        <f>L_CViec!A421</f>
        <v>31</v>
      </c>
      <c r="B503" s="227" t="str">
        <f>L_CViec!B421</f>
        <v>UBND xã,phường, nhận thông báo biến động, chỉnh lý vào HSĐC</v>
      </c>
      <c r="C503" s="226" t="str">
        <f>L_CViec!AD421</f>
        <v>Hồ sơ</v>
      </c>
      <c r="D503" s="226">
        <f>L_CViec!AC421</f>
        <v>1</v>
      </c>
      <c r="E503" s="226" t="str">
        <f>L_CViec!AE421</f>
        <v>1KS2</v>
      </c>
      <c r="F503" s="226" t="str">
        <f>L_CViec!AF421</f>
        <v>1-3</v>
      </c>
      <c r="G503" s="226">
        <f>L_CViec!AG421</f>
        <v>0.1</v>
      </c>
      <c r="H503" s="283">
        <f>L_CViec!AH421</f>
        <v>0.1</v>
      </c>
      <c r="I503" s="283">
        <f>L_CViec!AI421</f>
        <v>0.13</v>
      </c>
      <c r="J503" s="718">
        <f>L_CViec!AJ421</f>
        <v>320867.25</v>
      </c>
      <c r="K503" s="127">
        <f t="shared" si="80"/>
        <v>32086.725000000002</v>
      </c>
      <c r="L503" s="127">
        <f t="shared" si="80"/>
        <v>32086.725000000002</v>
      </c>
      <c r="M503" s="608">
        <f>I503*$J503</f>
        <v>41712.7425</v>
      </c>
      <c r="N503" s="718">
        <f>$D503*G503*L_CBac!$J$68</f>
        <v>973.07692307692309</v>
      </c>
      <c r="O503" s="718">
        <f>$D503*H503*L_CBac!$J$68</f>
        <v>973.07692307692309</v>
      </c>
      <c r="P503" s="718">
        <f>$D503*I503*L_CBac!$J$68</f>
        <v>1265</v>
      </c>
    </row>
    <row r="504" spans="1:18" s="50" customFormat="1" ht="26.25" hidden="1" customHeight="1">
      <c r="A504" s="753">
        <f>L_CViec!A422</f>
        <v>0</v>
      </c>
      <c r="B504" s="615">
        <f>L_CViec!B422</f>
        <v>0</v>
      </c>
      <c r="C504" s="615">
        <f>L_CViec!AD422</f>
        <v>0</v>
      </c>
      <c r="D504" s="615">
        <f>L_CViec!AC422</f>
        <v>0</v>
      </c>
      <c r="E504" s="615">
        <f>L_CViec!AE422</f>
        <v>0</v>
      </c>
      <c r="F504" s="615">
        <f>L_CViec!AF422</f>
        <v>0</v>
      </c>
      <c r="G504" s="615">
        <f>L_CViec!AG422</f>
        <v>0</v>
      </c>
      <c r="H504" s="754">
        <f>L_CViec!AH422</f>
        <v>0</v>
      </c>
      <c r="I504" s="754">
        <f>L_CViec!AI422</f>
        <v>0</v>
      </c>
      <c r="J504" s="755">
        <f>L_CViec!AJ422</f>
        <v>0</v>
      </c>
      <c r="K504" s="756">
        <f>K505</f>
        <v>0</v>
      </c>
      <c r="L504" s="756">
        <f t="shared" ref="L504:P504" si="81">L505</f>
        <v>0</v>
      </c>
      <c r="M504" s="756">
        <f t="shared" si="81"/>
        <v>0</v>
      </c>
      <c r="N504" s="474">
        <f t="shared" si="81"/>
        <v>0</v>
      </c>
      <c r="O504" s="474">
        <f t="shared" si="81"/>
        <v>0</v>
      </c>
      <c r="P504" s="474">
        <f t="shared" si="81"/>
        <v>0</v>
      </c>
    </row>
    <row r="505" spans="1:18" s="50" customFormat="1" ht="30" hidden="1" customHeight="1">
      <c r="A505" s="421">
        <f>L_CViec!A423</f>
        <v>0</v>
      </c>
      <c r="B505" s="468">
        <f>L_CViec!B423</f>
        <v>0</v>
      </c>
      <c r="C505" s="421">
        <f>L_CViec!AD423</f>
        <v>0</v>
      </c>
      <c r="D505" s="421">
        <f>L_CViec!AC423</f>
        <v>0</v>
      </c>
      <c r="E505" s="421">
        <f>L_CViec!AE423</f>
        <v>0</v>
      </c>
      <c r="F505" s="421">
        <f>L_CViec!AF423</f>
        <v>0</v>
      </c>
      <c r="G505" s="421">
        <f>L_CViec!AG423</f>
        <v>0</v>
      </c>
      <c r="H505" s="469">
        <f>L_CViec!AH423</f>
        <v>0</v>
      </c>
      <c r="I505" s="469">
        <f>L_CViec!AI423</f>
        <v>0</v>
      </c>
      <c r="J505" s="720">
        <f>L_CViec!AJ423</f>
        <v>0</v>
      </c>
      <c r="K505" s="420">
        <f>G505*$J505</f>
        <v>0</v>
      </c>
      <c r="L505" s="420">
        <f>H505*$J505</f>
        <v>0</v>
      </c>
      <c r="M505" s="420">
        <f>I505*$J505</f>
        <v>0</v>
      </c>
      <c r="N505" s="473">
        <f>$D505*G505*L_CBac!$J$68</f>
        <v>0</v>
      </c>
      <c r="O505" s="473">
        <f>$D505*H505*L_CBac!$J$68</f>
        <v>0</v>
      </c>
      <c r="P505" s="473">
        <f>$D505*I505*L_CBac!$J$68</f>
        <v>0</v>
      </c>
    </row>
    <row r="506" spans="1:18" s="50" customFormat="1">
      <c r="A506" s="48" t="str">
        <f>L_CViec!A424</f>
        <v>VII.2</v>
      </c>
      <c r="B506" s="52" t="str">
        <f>L_CViec!B424</f>
        <v>GHI CHÚ</v>
      </c>
      <c r="C506" s="52">
        <f>L_CViec!AD424</f>
        <v>0</v>
      </c>
      <c r="D506" s="52"/>
      <c r="E506" s="52">
        <f>L_CViec!AE424</f>
        <v>0</v>
      </c>
      <c r="F506" s="52">
        <f>L_CViec!AF424</f>
        <v>0</v>
      </c>
      <c r="G506" s="52">
        <f>L_CViec!AG424</f>
        <v>0</v>
      </c>
      <c r="H506" s="472">
        <f>L_CViec!AH424</f>
        <v>0</v>
      </c>
      <c r="I506" s="472">
        <f>L_CViec!AI424</f>
        <v>0</v>
      </c>
      <c r="J506" s="721">
        <f>L_CViec!AJ424</f>
        <v>0</v>
      </c>
      <c r="K506" s="472"/>
      <c r="L506" s="472"/>
      <c r="M506" s="472"/>
      <c r="N506" s="474"/>
      <c r="O506" s="474"/>
      <c r="P506" s="474"/>
    </row>
    <row r="507" spans="1:18" s="50" customFormat="1" ht="26.5" customHeight="1">
      <c r="A507" s="49" t="str">
        <f>L_CViec!A425</f>
        <v>1</v>
      </c>
      <c r="B507" s="974" t="str">
        <f>L_CViec!B425</f>
        <v>(1) Cột “ĐM Đất” áp dụng cho trường hợp đăng ký, cấp GCN đối với đất; cột “ĐM TS” áp dụng cho trường hợp đăng ký, cấp GCN đối với tài sản; cột “ĐM Đất + TS” áp dụng đối với trường hợp đăng ký, cấp GCN đối với cả đất và tài sản gắn liền với đất.</v>
      </c>
      <c r="C507" s="974"/>
      <c r="D507" s="974"/>
      <c r="E507" s="974"/>
      <c r="F507" s="974"/>
      <c r="G507" s="974"/>
      <c r="H507" s="974"/>
      <c r="I507" s="974"/>
      <c r="J507" s="974"/>
      <c r="K507" s="974"/>
      <c r="L507" s="974"/>
      <c r="M507" s="974"/>
      <c r="N507" s="474"/>
      <c r="O507" s="474"/>
      <c r="P507" s="474"/>
    </row>
    <row r="508" spans="1:18" s="50" customFormat="1" ht="26.5" customHeight="1">
      <c r="A508" s="49" t="str">
        <f>L_CViec!A426</f>
        <v>2</v>
      </c>
      <c r="B508" s="974" t="str">
        <f>L_CViec!B426</f>
        <v>(2) Các trường hợp đăng ký biến động đất đai mà thực hiện cấp mới GCN thì áp dụng định mức của Bảng này. Trường hợp đăng ký biến động mà không thực hiện cấp mới GCN thì áp dụng theo quy định tại Bảng 12.1 sau đây:</v>
      </c>
      <c r="C508" s="974"/>
      <c r="D508" s="974"/>
      <c r="E508" s="974"/>
      <c r="F508" s="974"/>
      <c r="G508" s="974"/>
      <c r="H508" s="974"/>
      <c r="I508" s="974"/>
      <c r="J508" s="974"/>
      <c r="K508" s="974"/>
      <c r="L508" s="974"/>
      <c r="M508" s="974"/>
      <c r="N508" s="473"/>
      <c r="O508" s="473"/>
      <c r="P508" s="473"/>
    </row>
    <row r="509" spans="1:18" s="50" customFormat="1" ht="26.5" customHeight="1">
      <c r="A509" s="929" t="s">
        <v>762</v>
      </c>
      <c r="B509" s="929" t="s">
        <v>287</v>
      </c>
      <c r="C509" s="929" t="s">
        <v>38</v>
      </c>
      <c r="D509" s="929" t="s">
        <v>764</v>
      </c>
      <c r="E509" s="931" t="s">
        <v>884</v>
      </c>
      <c r="F509" s="933" t="s">
        <v>35</v>
      </c>
      <c r="G509" s="933"/>
      <c r="H509" s="933"/>
      <c r="I509" s="931" t="s">
        <v>885</v>
      </c>
      <c r="J509" s="935" t="s">
        <v>35</v>
      </c>
      <c r="K509" s="936"/>
      <c r="L509" s="936"/>
      <c r="M509" s="929" t="s">
        <v>765</v>
      </c>
      <c r="N509" s="928"/>
      <c r="O509" s="928"/>
      <c r="P509" s="927" t="s">
        <v>313</v>
      </c>
      <c r="Q509" s="928"/>
      <c r="R509" s="928"/>
    </row>
    <row r="510" spans="1:18" s="50" customFormat="1" ht="43.5" customHeight="1">
      <c r="A510" s="930"/>
      <c r="B510" s="930"/>
      <c r="C510" s="930"/>
      <c r="D510" s="930"/>
      <c r="E510" s="932"/>
      <c r="F510" s="761" t="s">
        <v>316</v>
      </c>
      <c r="G510" s="761" t="s">
        <v>315</v>
      </c>
      <c r="H510" s="761" t="s">
        <v>314</v>
      </c>
      <c r="I510" s="934"/>
      <c r="J510" s="761" t="s">
        <v>316</v>
      </c>
      <c r="K510" s="761" t="s">
        <v>315</v>
      </c>
      <c r="L510" s="761" t="s">
        <v>314</v>
      </c>
      <c r="M510" s="758" t="s">
        <v>316</v>
      </c>
      <c r="N510" s="758" t="s">
        <v>315</v>
      </c>
      <c r="O510" s="758" t="s">
        <v>314</v>
      </c>
      <c r="P510" s="758" t="s">
        <v>316</v>
      </c>
      <c r="Q510" s="758" t="s">
        <v>315</v>
      </c>
      <c r="R510" s="758" t="s">
        <v>314</v>
      </c>
    </row>
    <row r="511" spans="1:18" s="50" customFormat="1" ht="52">
      <c r="A511" s="760">
        <v>1</v>
      </c>
      <c r="B511" s="310" t="s">
        <v>248</v>
      </c>
      <c r="C511" s="226" t="s">
        <v>51</v>
      </c>
      <c r="D511" s="226" t="s">
        <v>31</v>
      </c>
      <c r="E511" s="226" t="s">
        <v>877</v>
      </c>
      <c r="F511" s="374">
        <f>(K459+K460+K464+K465+K469+K493+K495+K499+K500+K501+K502+K503)</f>
        <v>706744.3679999999</v>
      </c>
      <c r="G511" s="374">
        <f t="shared" ref="G511:H511" si="82">(L459+L460+L464+L465+L469+L493+L495+L499+L500+L501+L502+L503)</f>
        <v>892537.32149999985</v>
      </c>
      <c r="H511" s="374">
        <f t="shared" si="82"/>
        <v>1081881.44625</v>
      </c>
      <c r="I511" s="226">
        <v>0.47799999999999998</v>
      </c>
      <c r="J511" s="127">
        <f>$I$511*(K461+K479+K489+K496)</f>
        <v>30330.247199999994</v>
      </c>
      <c r="K511" s="127">
        <f>I511*($L$461+$L$479+$L$489+$L$496)</f>
        <v>41876.420849999995</v>
      </c>
      <c r="L511" s="127">
        <f>I511*($M$461+$M$479+$M$489+$M$496)</f>
        <v>75997.948950000005</v>
      </c>
      <c r="M511" s="127">
        <f t="shared" ref="M511:M517" si="83">F511+J511</f>
        <v>737074.61519999988</v>
      </c>
      <c r="N511" s="127">
        <f t="shared" ref="N511:O511" si="84">G511+K511</f>
        <v>934413.74234999984</v>
      </c>
      <c r="O511" s="127">
        <f t="shared" si="84"/>
        <v>1157879.3952000001</v>
      </c>
      <c r="P511" s="840">
        <f>(N459+N460+N464+N465+N469+N493+N495+N499+N500+N501+N502+N503)+$I$511*(N461+N479+N489+N496)</f>
        <v>22751.784</v>
      </c>
      <c r="Q511" s="840">
        <f t="shared" ref="Q511:R511" si="85">(O459+O460+O464+O465+O469+O493+O495+O499+O500+O501+O502+O503)+$I$511*(O461+O479+O489+O496)</f>
        <v>28931.075461538458</v>
      </c>
      <c r="R511" s="840">
        <f t="shared" si="85"/>
        <v>35739.149769230768</v>
      </c>
    </row>
    <row r="512" spans="1:18" s="50" customFormat="1" ht="52">
      <c r="A512" s="760">
        <v>2</v>
      </c>
      <c r="B512" s="310" t="s">
        <v>249</v>
      </c>
      <c r="C512" s="226" t="s">
        <v>51</v>
      </c>
      <c r="D512" s="226" t="s">
        <v>31</v>
      </c>
      <c r="E512" s="226" t="s">
        <v>877</v>
      </c>
      <c r="F512" s="374">
        <f>(K459+K460+K464+K465+K469+K493+K495+K499+K500+K501+K502+K503)</f>
        <v>706744.3679999999</v>
      </c>
      <c r="G512" s="374">
        <f t="shared" ref="G512:H512" si="86">(L459+L460+L464+L465+L469+L493+L495+L499+L500+L501+L502+L503)</f>
        <v>892537.32149999985</v>
      </c>
      <c r="H512" s="374">
        <f t="shared" si="86"/>
        <v>1081881.44625</v>
      </c>
      <c r="I512" s="226">
        <v>0.435</v>
      </c>
      <c r="J512" s="127">
        <f t="shared" ref="J512:J538" si="87">I512*($K$461+$K$479+$K$489+$K$496)</f>
        <v>27601.793999999998</v>
      </c>
      <c r="K512" s="127">
        <f t="shared" ref="K512:K538" si="88">I512*($L$461+$L$479+$L$489+$L$496)</f>
        <v>38109.295124999997</v>
      </c>
      <c r="L512" s="127">
        <f t="shared" ref="L512:L538" si="89">I512*($M$461+$M$479+$M$489+$M$496)</f>
        <v>69161.313375000012</v>
      </c>
      <c r="M512" s="127">
        <f t="shared" si="83"/>
        <v>734346.16199999989</v>
      </c>
      <c r="N512" s="127">
        <f t="shared" ref="N512" si="90">G512+K512</f>
        <v>930646.61662499979</v>
      </c>
      <c r="O512" s="127">
        <f t="shared" ref="O512" si="91">H512+L512</f>
        <v>1151042.7596249999</v>
      </c>
      <c r="P512" s="374">
        <f>(N459+N460+N464+N465+N469+N493+N495+N499+N500+N501+N502+N503)+$I$512*(N461+N479+N489+N496)</f>
        <v>22678.141538461536</v>
      </c>
      <c r="Q512" s="374">
        <f t="shared" ref="Q512:R512" si="92">(O459+O460+O464+O465+O469+O493+O495+O499+O500+O501+O502+O503)+$I$512*(O461+O479+O489+O496)</f>
        <v>28829.39865384615</v>
      </c>
      <c r="R512" s="374">
        <f t="shared" si="92"/>
        <v>35554.625192307692</v>
      </c>
    </row>
    <row r="513" spans="1:18" s="50" customFormat="1" ht="52">
      <c r="A513" s="760">
        <v>3</v>
      </c>
      <c r="B513" s="310" t="s">
        <v>250</v>
      </c>
      <c r="C513" s="226" t="s">
        <v>51</v>
      </c>
      <c r="D513" s="226" t="s">
        <v>31</v>
      </c>
      <c r="E513" s="226" t="s">
        <v>878</v>
      </c>
      <c r="F513" s="374">
        <f>(K459+K460+K464+K465+K469+K481+K493+K495+K499+K500+K501+K502+K503)</f>
        <v>722787.73049999983</v>
      </c>
      <c r="G513" s="374">
        <f t="shared" ref="G513:H513" si="93">(L459+L460+L464+L465+L469+L481+L493+L495+L499+L500+L501+L502+L503)</f>
        <v>892537.32149999985</v>
      </c>
      <c r="H513" s="374">
        <f t="shared" si="93"/>
        <v>1097924.8087500001</v>
      </c>
      <c r="I513" s="226">
        <v>0.13</v>
      </c>
      <c r="J513" s="127">
        <f t="shared" si="87"/>
        <v>8248.8119999999999</v>
      </c>
      <c r="K513" s="127">
        <f t="shared" si="88"/>
        <v>11388.98475</v>
      </c>
      <c r="L513" s="127">
        <f t="shared" si="89"/>
        <v>20668.898250000002</v>
      </c>
      <c r="M513" s="127">
        <f t="shared" si="83"/>
        <v>731036.54249999986</v>
      </c>
      <c r="N513" s="127">
        <f t="shared" ref="N513" si="94">G513+K513</f>
        <v>903926.30624999979</v>
      </c>
      <c r="O513" s="127">
        <f t="shared" ref="O513" si="95">H513+L513</f>
        <v>1118593.7070000002</v>
      </c>
      <c r="P513" s="450">
        <f>(N459+N460+N464+N465+N469+N481+N493+N495+N499+N500+N501+N502+N503)+$I$513*($N$461+$N$479+$N$489+$N$496)</f>
        <v>22642.332307692304</v>
      </c>
      <c r="Q513" s="450">
        <f>(O459+O460+O464+O465+O469+O481+O493+O495+O499+O500+O501+O502+O503)+$I$513*($O$461+$O$479+$O$489+$O$496)</f>
        <v>28108.202692307688</v>
      </c>
      <c r="R513" s="450">
        <f>(P459+P460+P464+P465+P469+P481+P493+P495+P499+P500+P501+P502+P503)+$I$513*($P$461+$P$479+$P$489+$P$496)</f>
        <v>34732.32653846153</v>
      </c>
    </row>
    <row r="514" spans="1:18" s="50" customFormat="1" ht="52">
      <c r="A514" s="760">
        <v>4</v>
      </c>
      <c r="B514" s="310" t="s">
        <v>251</v>
      </c>
      <c r="C514" s="226" t="s">
        <v>51</v>
      </c>
      <c r="D514" s="226" t="s">
        <v>31</v>
      </c>
      <c r="E514" s="226" t="s">
        <v>879</v>
      </c>
      <c r="F514" s="374">
        <f>(K459+K460+K464+K465+K469+K493+K499+K500+K501+K502+K503)</f>
        <v>588023.48549999995</v>
      </c>
      <c r="G514" s="374">
        <f t="shared" ref="G514:H514" si="96">(L459+L460+L464+L465+L469+L493+L499+L500+L501+L502+L503)</f>
        <v>773816.4389999999</v>
      </c>
      <c r="H514" s="374">
        <f t="shared" si="96"/>
        <v>939416.38725000003</v>
      </c>
      <c r="I514" s="226">
        <v>0.152</v>
      </c>
      <c r="J514" s="127">
        <f t="shared" si="87"/>
        <v>9644.764799999999</v>
      </c>
      <c r="K514" s="127">
        <f t="shared" si="88"/>
        <v>13316.3514</v>
      </c>
      <c r="L514" s="127">
        <f t="shared" si="89"/>
        <v>24166.711800000005</v>
      </c>
      <c r="M514" s="127">
        <f t="shared" si="83"/>
        <v>597668.25029999996</v>
      </c>
      <c r="N514" s="127">
        <f t="shared" ref="N514" si="97">G514+K514</f>
        <v>787132.79039999994</v>
      </c>
      <c r="O514" s="127">
        <f t="shared" ref="O514" si="98">H514+L514</f>
        <v>963583.09905000008</v>
      </c>
      <c r="P514" s="450">
        <f>(N459+N460+N464+N465+N469+N493+N499+N500+N501+N502+N503)+$I$514*($N$461+$N$479+$N$489+$N$496)</f>
        <v>18593.086769230766</v>
      </c>
      <c r="Q514" s="450">
        <f>(O459+O460+O464+O465+O469+O493+O499+O500+O501+O502+O503)+$I$514*($O$461+$O$479+$O$489+$O$496)</f>
        <v>24559.838769230766</v>
      </c>
      <c r="R514" s="450">
        <f>(P459+P460+P464+P465+P469+P493+P499+P500+P501+P502+P503)+$I$514*($P$461+$P$479+$P$489+$P$496)</f>
        <v>30019.734461538457</v>
      </c>
    </row>
    <row r="515" spans="1:18" s="50" customFormat="1" ht="52">
      <c r="A515" s="760">
        <v>5</v>
      </c>
      <c r="B515" s="310" t="s">
        <v>252</v>
      </c>
      <c r="C515" s="226" t="s">
        <v>51</v>
      </c>
      <c r="D515" s="226" t="s">
        <v>31</v>
      </c>
      <c r="E515" s="226" t="s">
        <v>880</v>
      </c>
      <c r="F515" s="374">
        <f>(K459+K460+K464+K465+K469+K481+K493+K495+K499+K500+K501+K502+K503)</f>
        <v>722787.73049999983</v>
      </c>
      <c r="G515" s="374">
        <f t="shared" ref="G515:H515" si="99">(L459+L460+L464+L465+L469+L481+L493+L495+L499+L500+L501+L502+L503)</f>
        <v>892537.32149999985</v>
      </c>
      <c r="H515" s="374">
        <f t="shared" si="99"/>
        <v>1097924.8087500001</v>
      </c>
      <c r="I515" s="226">
        <v>0.39100000000000001</v>
      </c>
      <c r="J515" s="127">
        <f t="shared" si="87"/>
        <v>24809.8884</v>
      </c>
      <c r="K515" s="127">
        <f t="shared" si="88"/>
        <v>34254.561824999997</v>
      </c>
      <c r="L515" s="127">
        <f t="shared" si="89"/>
        <v>62165.686275000015</v>
      </c>
      <c r="M515" s="127">
        <f t="shared" si="83"/>
        <v>747597.61889999988</v>
      </c>
      <c r="N515" s="127">
        <f t="shared" ref="N515" si="100">G515+K515</f>
        <v>926791.88332499983</v>
      </c>
      <c r="O515" s="127">
        <f t="shared" ref="O515" si="101">H515+L515</f>
        <v>1160090.4950250001</v>
      </c>
      <c r="P515" s="450">
        <f>(N459+N460+N464+N465+N469+N481+N493+N495+N499+N500+N501+N502+N503)+$I$515*($N$461+$N$479+$N$489+$N$496)</f>
        <v>23089.324923076922</v>
      </c>
      <c r="Q515" s="450">
        <f>(O459+O460+O464+O465+O469+O481+O493+O495+O499+O500+O501+O502+O503)+$I$515*($O$461+$O$479+$O$489+$O$496)</f>
        <v>28725.357269230764</v>
      </c>
      <c r="R515" s="450">
        <f>(P459+P460+P464+P465+P469+P481+P493+P495+P499+P500+P501+P502+P503)+$I$515*($P$461+$P$479+$P$489+$P$496)</f>
        <v>35852.347807692298</v>
      </c>
    </row>
    <row r="516" spans="1:18" s="50" customFormat="1" ht="52">
      <c r="A516" s="760">
        <v>6</v>
      </c>
      <c r="B516" s="310" t="s">
        <v>253</v>
      </c>
      <c r="C516" s="226" t="s">
        <v>51</v>
      </c>
      <c r="D516" s="226" t="s">
        <v>31</v>
      </c>
      <c r="E516" s="226" t="s">
        <v>877</v>
      </c>
      <c r="F516" s="374">
        <f>(K459+K460+K464+K465+K469+K493+K495+K499+K500+K501+K502+K503)</f>
        <v>706744.3679999999</v>
      </c>
      <c r="G516" s="374">
        <f t="shared" ref="G516:H516" si="102">(L459+L460+L464+L465+L469+L493+L495+L499+L500+L501+L502+L503)</f>
        <v>892537.32149999985</v>
      </c>
      <c r="H516" s="374">
        <f t="shared" si="102"/>
        <v>1081881.44625</v>
      </c>
      <c r="I516" s="226">
        <v>0.152</v>
      </c>
      <c r="J516" s="127">
        <f t="shared" si="87"/>
        <v>9644.764799999999</v>
      </c>
      <c r="K516" s="127">
        <f t="shared" si="88"/>
        <v>13316.3514</v>
      </c>
      <c r="L516" s="127">
        <f t="shared" si="89"/>
        <v>24166.711800000005</v>
      </c>
      <c r="M516" s="127">
        <f t="shared" si="83"/>
        <v>716389.1327999999</v>
      </c>
      <c r="N516" s="127">
        <f>G516+K516</f>
        <v>905853.67289999989</v>
      </c>
      <c r="O516" s="127">
        <f t="shared" ref="O516" si="103">H516+L516</f>
        <v>1106048.15805</v>
      </c>
      <c r="P516" s="450">
        <f>(N459+N460+N464+N465+N469+N493+N495+N499+N500+N501+N502+N503)+$I$516*($N$461+$N$479+$N$489+$N$496)</f>
        <v>22193.471384615383</v>
      </c>
      <c r="Q516" s="450">
        <f>(O459+O460+O464+O465+O469+O493+O495+O499+O500+O501+O502+O503)+$I$516*($O$461+$O$479+$O$489+$O$496)</f>
        <v>28160.223384615379</v>
      </c>
      <c r="R516" s="450">
        <f>(P459+P460+P464+P465+P469+P493+P495+P499+P500+P501+P502+P503)+$I$516*($P$461+$P$479+$P$489+$P$496)</f>
        <v>34340.196000000004</v>
      </c>
    </row>
    <row r="517" spans="1:18" s="50" customFormat="1" ht="52">
      <c r="A517" s="760">
        <v>7</v>
      </c>
      <c r="B517" s="310" t="s">
        <v>254</v>
      </c>
      <c r="C517" s="226" t="s">
        <v>51</v>
      </c>
      <c r="D517" s="226" t="s">
        <v>31</v>
      </c>
      <c r="E517" s="226" t="s">
        <v>880</v>
      </c>
      <c r="F517" s="374">
        <f>(K459+K460+K464+K465+K469+K481+K493+K495+K499+K500+K501+K502+K503)</f>
        <v>722787.73049999983</v>
      </c>
      <c r="G517" s="374">
        <f t="shared" ref="G517:H517" si="104">(L459+L460+L464+L465+L469+L481+L493+L495+L499+L500+L501+L502+L503)</f>
        <v>892537.32149999985</v>
      </c>
      <c r="H517" s="374">
        <f t="shared" si="104"/>
        <v>1097924.8087500001</v>
      </c>
      <c r="I517" s="226">
        <v>0.32600000000000001</v>
      </c>
      <c r="J517" s="127">
        <f t="shared" si="87"/>
        <v>20685.482399999997</v>
      </c>
      <c r="K517" s="127">
        <f t="shared" si="88"/>
        <v>28560.069449999999</v>
      </c>
      <c r="L517" s="127">
        <f t="shared" si="89"/>
        <v>51831.237150000008</v>
      </c>
      <c r="M517" s="127">
        <f t="shared" si="83"/>
        <v>743473.21289999981</v>
      </c>
      <c r="N517" s="127">
        <f t="shared" ref="N517" si="105">G517+K517</f>
        <v>921097.3909499998</v>
      </c>
      <c r="O517" s="127">
        <f t="shared" ref="O517" si="106">H517+L517</f>
        <v>1149756.0459</v>
      </c>
      <c r="P517" s="450">
        <f>(N459+N460+N464+N465+N469+N481+N493+N495+N499+N500+N501+N502+N503)+$I$517*($N$461+$N$479+$N$489+$N$496)</f>
        <v>22978.004923076922</v>
      </c>
      <c r="Q517" s="450">
        <f>(O459+O460+O464+O465+O469+O481+O493+O495+O499+O500+O501+O502+O503)+$I$517*($O$461+$O$479+$O$489+$O$496)</f>
        <v>28571.659769230766</v>
      </c>
      <c r="R517" s="450">
        <f>(P459+P460+P464+P465+P469+P481+P493+P495+P499+P500+P501+P502+P503)+$I$517*($P$461+$P$479+$P$489+$P$496)</f>
        <v>35573.415307692303</v>
      </c>
    </row>
    <row r="518" spans="1:18" s="50" customFormat="1" ht="52">
      <c r="A518" s="760">
        <v>8</v>
      </c>
      <c r="B518" s="310" t="s">
        <v>255</v>
      </c>
      <c r="C518" s="226" t="s">
        <v>51</v>
      </c>
      <c r="D518" s="226" t="s">
        <v>31</v>
      </c>
      <c r="E518" s="226" t="s">
        <v>880</v>
      </c>
      <c r="F518" s="374">
        <f>(K459+K460+K464+K465+K469+K481+K493+K495+K499+K500+K501+K502+K503)</f>
        <v>722787.73049999983</v>
      </c>
      <c r="G518" s="374">
        <f t="shared" ref="G518:H518" si="107">(L459+L460+L464+L465+L469+L481+L493+L495+L499+L500+L501+L502+L503)</f>
        <v>892537.32149999985</v>
      </c>
      <c r="H518" s="374">
        <f t="shared" si="107"/>
        <v>1097924.8087500001</v>
      </c>
      <c r="I518" s="226">
        <v>0.32600000000000001</v>
      </c>
      <c r="J518" s="127">
        <f t="shared" si="87"/>
        <v>20685.482399999997</v>
      </c>
      <c r="K518" s="127">
        <f t="shared" si="88"/>
        <v>28560.069449999999</v>
      </c>
      <c r="L518" s="127">
        <f t="shared" si="89"/>
        <v>51831.237150000008</v>
      </c>
      <c r="M518" s="127">
        <f t="shared" ref="M518:M526" si="108">F518+J518</f>
        <v>743473.21289999981</v>
      </c>
      <c r="N518" s="127">
        <f t="shared" ref="N518:N527" si="109">G518+K518</f>
        <v>921097.3909499998</v>
      </c>
      <c r="O518" s="127">
        <f t="shared" ref="O518:O527" si="110">H518+L518</f>
        <v>1149756.0459</v>
      </c>
      <c r="P518" s="450">
        <f>(N459+N460+N464+N465+N469+N481+N493+N495+N499+N500+N501+N502+N503)+$I$518*($N$461+$N$479+$N$489+$N$496)</f>
        <v>22978.004923076922</v>
      </c>
      <c r="Q518" s="450">
        <f>(O459+O460+O464+O465+O469+O481+O493+O495+O499+O500+O501+O502+O503)+$I$518*($O$461+$O$479+$O$489+$O$496)</f>
        <v>28571.659769230766</v>
      </c>
      <c r="R518" s="450">
        <f>(P459+P460+P464+P465+P469+P481+P493+P495+P499+P500+P501+P502+P503)+$I$518*($P$461+$P$479+$P$489+$P$496)</f>
        <v>35573.415307692303</v>
      </c>
    </row>
    <row r="519" spans="1:18" s="50" customFormat="1" ht="52">
      <c r="A519" s="760">
        <v>9</v>
      </c>
      <c r="B519" s="310" t="s">
        <v>256</v>
      </c>
      <c r="C519" s="226" t="s">
        <v>51</v>
      </c>
      <c r="D519" s="226" t="s">
        <v>31</v>
      </c>
      <c r="E519" s="226" t="s">
        <v>880</v>
      </c>
      <c r="F519" s="374">
        <f>(K459+K460+K464+K465+K469+K481+K493+K495+K499+K500+K501+K502+K503)</f>
        <v>722787.73049999983</v>
      </c>
      <c r="G519" s="374">
        <f t="shared" ref="G519:H519" si="111">(L459+L460+L464+L465+L469+L481+L493+L495+L499+L500+L501+L502+L503)</f>
        <v>892537.32149999985</v>
      </c>
      <c r="H519" s="374">
        <f t="shared" si="111"/>
        <v>1097924.8087500001</v>
      </c>
      <c r="I519" s="226">
        <v>0.32600000000000001</v>
      </c>
      <c r="J519" s="127">
        <f t="shared" si="87"/>
        <v>20685.482399999997</v>
      </c>
      <c r="K519" s="127">
        <f t="shared" si="88"/>
        <v>28560.069449999999</v>
      </c>
      <c r="L519" s="127">
        <f t="shared" si="89"/>
        <v>51831.237150000008</v>
      </c>
      <c r="M519" s="127">
        <f t="shared" si="108"/>
        <v>743473.21289999981</v>
      </c>
      <c r="N519" s="127">
        <f t="shared" si="109"/>
        <v>921097.3909499998</v>
      </c>
      <c r="O519" s="127">
        <f t="shared" si="110"/>
        <v>1149756.0459</v>
      </c>
      <c r="P519" s="450">
        <f>(N459+N460+N464+N465+N469+N481+N493+N495+N499+N500+N501+N502+N503)+$I$519*($N$461+$N$479+$N$489+$N$496)</f>
        <v>22978.004923076922</v>
      </c>
      <c r="Q519" s="450">
        <f>(O459+O460+O464+O465+O469+O481+O493+O495+O499+O500+O501+O502+O503)+$I$519*($O$461+$O$479+$O$489+$O$496)</f>
        <v>28571.659769230766</v>
      </c>
      <c r="R519" s="450">
        <f>(P459+P460+P464+P465+P469+P481+P493+P495+P499+P500+P501+P502+P503)+$I$519*($P$461+$P$479+$P$489+$P$496)</f>
        <v>35573.415307692303</v>
      </c>
    </row>
    <row r="520" spans="1:18" s="50" customFormat="1" ht="52">
      <c r="A520" s="760">
        <v>10</v>
      </c>
      <c r="B520" s="310" t="s">
        <v>257</v>
      </c>
      <c r="C520" s="226" t="s">
        <v>51</v>
      </c>
      <c r="D520" s="226" t="s">
        <v>31</v>
      </c>
      <c r="E520" s="226" t="s">
        <v>880</v>
      </c>
      <c r="F520" s="374">
        <f>(K459+K460+K464+K465+K469+K481+K493+K495+K499+K500+K501+K502+K503)</f>
        <v>722787.73049999983</v>
      </c>
      <c r="G520" s="374">
        <f t="shared" ref="G520:H520" si="112">(L459+L460+L464+L465+L469+L481+L493+L495+L499+L500+L501+L502+L503)</f>
        <v>892537.32149999985</v>
      </c>
      <c r="H520" s="374">
        <f t="shared" si="112"/>
        <v>1097924.8087500001</v>
      </c>
      <c r="I520" s="226">
        <v>0.32600000000000001</v>
      </c>
      <c r="J520" s="127">
        <f t="shared" si="87"/>
        <v>20685.482399999997</v>
      </c>
      <c r="K520" s="127">
        <f t="shared" si="88"/>
        <v>28560.069449999999</v>
      </c>
      <c r="L520" s="127">
        <f t="shared" si="89"/>
        <v>51831.237150000008</v>
      </c>
      <c r="M520" s="127">
        <f t="shared" si="108"/>
        <v>743473.21289999981</v>
      </c>
      <c r="N520" s="127">
        <f t="shared" si="109"/>
        <v>921097.3909499998</v>
      </c>
      <c r="O520" s="127">
        <f t="shared" si="110"/>
        <v>1149756.0459</v>
      </c>
      <c r="P520" s="450">
        <f>(N459+N460+N464+N465+N469+N481+N493+N495+N499+N500+N501+N502+N503)+$I$520*($N$461+$N$479+$N$489+$N$496)</f>
        <v>22978.004923076922</v>
      </c>
      <c r="Q520" s="450">
        <f>(O459+O460+O464+O465+O469+O481+O493+O495+O499+O500+O501+O502+O503)+$I$520*($O$461+$O$479+$O$489+$O$496)</f>
        <v>28571.659769230766</v>
      </c>
      <c r="R520" s="450">
        <f>(P459+P460+P464+P465+P469+P481+P493+P495+P499+P500+P501+P502+P503)+$I$520*($P$461+$P$479+$P$489+$P$496)</f>
        <v>35573.415307692303</v>
      </c>
    </row>
    <row r="521" spans="1:18" s="50" customFormat="1" ht="52">
      <c r="A521" s="760">
        <v>11</v>
      </c>
      <c r="B521" s="310" t="s">
        <v>258</v>
      </c>
      <c r="C521" s="226" t="s">
        <v>51</v>
      </c>
      <c r="D521" s="226" t="s">
        <v>31</v>
      </c>
      <c r="E521" s="226" t="s">
        <v>880</v>
      </c>
      <c r="F521" s="374">
        <f>(K459+K460+K464+K465+K469+K481+K493+K495+K499+K500+K501+K502+K503)</f>
        <v>722787.73049999983</v>
      </c>
      <c r="G521" s="374">
        <f t="shared" ref="G521:H521" si="113">(L459+L460+L464+L465+L469+L481+L493+L495+L499+L500+L501+L502+L503)</f>
        <v>892537.32149999985</v>
      </c>
      <c r="H521" s="374">
        <f t="shared" si="113"/>
        <v>1097924.8087500001</v>
      </c>
      <c r="I521" s="226">
        <v>0.37</v>
      </c>
      <c r="J521" s="127">
        <f t="shared" si="87"/>
        <v>23477.387999999999</v>
      </c>
      <c r="K521" s="127">
        <f t="shared" si="88"/>
        <v>32414.802749999999</v>
      </c>
      <c r="L521" s="127">
        <f t="shared" si="89"/>
        <v>58826.864250000006</v>
      </c>
      <c r="M521" s="127">
        <f t="shared" si="108"/>
        <v>746265.11849999987</v>
      </c>
      <c r="N521" s="127">
        <f t="shared" si="109"/>
        <v>924952.12424999988</v>
      </c>
      <c r="O521" s="127">
        <f t="shared" si="110"/>
        <v>1156751.6730000002</v>
      </c>
      <c r="P521" s="450">
        <f>(N459+N460+N464+N465+N469+N481+N493+N495+N499+N500+N501+N502+N503)+$I$521*($N$461+$N$479+$N$489+$N$496)</f>
        <v>23053.359999999997</v>
      </c>
      <c r="Q521" s="450">
        <f>(O459+O460+O464+O465+O469+O481+O493+O495+O499+O500+O501+O502+O503)+$I$521*($O$461+$O$479+$O$489+$O$496)</f>
        <v>28675.701153846148</v>
      </c>
      <c r="R521" s="450">
        <f>(P459+P460+P464+P465+P469+P481+P493+P495+P499+P500+P501+P502+P503)+$I$521*($P$461+$P$479+$P$489+$P$496)</f>
        <v>35762.231153846144</v>
      </c>
    </row>
    <row r="522" spans="1:18" s="50" customFormat="1" ht="52">
      <c r="A522" s="760">
        <v>12</v>
      </c>
      <c r="B522" s="310" t="s">
        <v>259</v>
      </c>
      <c r="C522" s="226" t="s">
        <v>51</v>
      </c>
      <c r="D522" s="226" t="s">
        <v>31</v>
      </c>
      <c r="E522" s="226" t="s">
        <v>880</v>
      </c>
      <c r="F522" s="374">
        <f>(K459+K460+K464+K465+K469+K481+K493+K495+K499+K500+K501+K502+K503)</f>
        <v>722787.73049999983</v>
      </c>
      <c r="G522" s="374">
        <f t="shared" ref="G522:H522" si="114">(L459+L460+L464+L465+L469+L481+L493+L495+L499+L500+L501+L502+L503)</f>
        <v>892537.32149999985</v>
      </c>
      <c r="H522" s="374">
        <f t="shared" si="114"/>
        <v>1097924.8087500001</v>
      </c>
      <c r="I522" s="226">
        <v>0.34799999999999998</v>
      </c>
      <c r="J522" s="127">
        <f t="shared" si="87"/>
        <v>22081.435199999996</v>
      </c>
      <c r="K522" s="127">
        <f t="shared" si="88"/>
        <v>30487.436099999995</v>
      </c>
      <c r="L522" s="127">
        <f t="shared" si="89"/>
        <v>55329.050700000007</v>
      </c>
      <c r="M522" s="127">
        <f t="shared" si="108"/>
        <v>744869.16569999978</v>
      </c>
      <c r="N522" s="127">
        <f t="shared" si="109"/>
        <v>923024.7575999999</v>
      </c>
      <c r="O522" s="127">
        <f t="shared" si="110"/>
        <v>1153253.8594500001</v>
      </c>
      <c r="P522" s="450">
        <f>(N459+N460+N464+N465+N469+N481+N493+N495+N499+N500+N501+N502+N503)+$I$522*($N$461+$N$479+$N$489+$N$496)</f>
        <v>23015.682461538458</v>
      </c>
      <c r="Q522" s="450">
        <f>(O459+O460+O464+O465+O469+O481+O493+O495+O499+O500+O501+O502+O503)+$I$522*($O$461+$O$479+$O$489+$O$496)</f>
        <v>28623.680461538457</v>
      </c>
      <c r="R522" s="450">
        <f>(P459+P460+P464+P465+P469+P481+P493+P495+P499+P500+P501+P502+P503)+$I$522*($P$461+$P$479+$P$489+$P$496)</f>
        <v>35667.823230769223</v>
      </c>
    </row>
    <row r="523" spans="1:18" s="50" customFormat="1" ht="52">
      <c r="A523" s="760">
        <v>13</v>
      </c>
      <c r="B523" s="310" t="s">
        <v>260</v>
      </c>
      <c r="C523" s="226" t="s">
        <v>51</v>
      </c>
      <c r="D523" s="226" t="s">
        <v>31</v>
      </c>
      <c r="E523" s="226" t="s">
        <v>880</v>
      </c>
      <c r="F523" s="374">
        <f>(K459+K460+K464+K465+K469+K481+K493+K495+K499+K500+K501+K502+K503)</f>
        <v>722787.73049999983</v>
      </c>
      <c r="G523" s="374">
        <f t="shared" ref="G523:H523" si="115">(L459+L460+L464+L465+L469+L481+L493+L495+L499+L500+L501+L502+L503)</f>
        <v>892537.32149999985</v>
      </c>
      <c r="H523" s="374">
        <f t="shared" si="115"/>
        <v>1097924.8087500001</v>
      </c>
      <c r="I523" s="226">
        <v>0.37</v>
      </c>
      <c r="J523" s="127">
        <f t="shared" si="87"/>
        <v>23477.387999999999</v>
      </c>
      <c r="K523" s="127">
        <f t="shared" si="88"/>
        <v>32414.802749999999</v>
      </c>
      <c r="L523" s="127">
        <f t="shared" si="89"/>
        <v>58826.864250000006</v>
      </c>
      <c r="M523" s="127">
        <f t="shared" si="108"/>
        <v>746265.11849999987</v>
      </c>
      <c r="N523" s="127">
        <f t="shared" si="109"/>
        <v>924952.12424999988</v>
      </c>
      <c r="O523" s="127">
        <f t="shared" si="110"/>
        <v>1156751.6730000002</v>
      </c>
      <c r="P523" s="450">
        <f>(N459+N460+N464+N465+N469+N481+N493+N495+N499+N500+N501+N502+N503)+$I$523*($N$461+$N$479+$N$489+$N$496)</f>
        <v>23053.359999999997</v>
      </c>
      <c r="Q523" s="450">
        <f>(O459+O460+O464+O465+O469+O481+O493+O495+O499+O500+O501+O502+O503)+$I$523*($O$461+$O$479+$O$489+$O$496)</f>
        <v>28675.701153846148</v>
      </c>
      <c r="R523" s="450">
        <f>(P459+P460+P464+P465+P469+P481+P493+P495+P499+P500+P501+P502+P503)+$I$523*($P$461+$P$479+$P$489+$P$496)</f>
        <v>35762.231153846144</v>
      </c>
    </row>
    <row r="524" spans="1:18" s="50" customFormat="1" ht="52">
      <c r="A524" s="760">
        <v>14</v>
      </c>
      <c r="B524" s="310" t="s">
        <v>261</v>
      </c>
      <c r="C524" s="226" t="s">
        <v>51</v>
      </c>
      <c r="D524" s="226" t="s">
        <v>31</v>
      </c>
      <c r="E524" s="226" t="s">
        <v>880</v>
      </c>
      <c r="F524" s="374">
        <f>(K459+K460+K464+K465+K469+K481+K493+K495+K499+K500+K501+K502+K503)</f>
        <v>722787.73049999983</v>
      </c>
      <c r="G524" s="374">
        <f t="shared" ref="G524:H524" si="116">(L459+L460+L464+L465+L469+L481+L493+L495+L499+L500+L501+L502+L503)</f>
        <v>892537.32149999985</v>
      </c>
      <c r="H524" s="374">
        <f t="shared" si="116"/>
        <v>1097924.8087500001</v>
      </c>
      <c r="I524" s="226">
        <v>0.32600000000000001</v>
      </c>
      <c r="J524" s="127">
        <f t="shared" si="87"/>
        <v>20685.482399999997</v>
      </c>
      <c r="K524" s="127">
        <f t="shared" si="88"/>
        <v>28560.069449999999</v>
      </c>
      <c r="L524" s="127">
        <f t="shared" si="89"/>
        <v>51831.237150000008</v>
      </c>
      <c r="M524" s="127">
        <f t="shared" si="108"/>
        <v>743473.21289999981</v>
      </c>
      <c r="N524" s="127">
        <f t="shared" si="109"/>
        <v>921097.3909499998</v>
      </c>
      <c r="O524" s="127">
        <f t="shared" si="110"/>
        <v>1149756.0459</v>
      </c>
      <c r="P524" s="450">
        <f>(N459+N460+N464+N465+N469+N481+N493+N495+N499+N500+N501+N502+N503)+$I$524*($N$461+$N$479+$N$489+$N$496)</f>
        <v>22978.004923076922</v>
      </c>
      <c r="Q524" s="450">
        <f>(O459+O460+O464+O465+O469+O481+O493+O495+O499+O500+O501+O502+O503)+$I$524*($O$461+$O$479+$O$489+$O$496)</f>
        <v>28571.659769230766</v>
      </c>
      <c r="R524" s="450">
        <f>(P459+P460+P464+P465+P469+P481+P493+P495+P499+P500+P501+P502+P503)+$I$524*($P$461+$P$479+$P$489+$P$496)</f>
        <v>35573.415307692303</v>
      </c>
    </row>
    <row r="525" spans="1:18" s="50" customFormat="1" ht="52">
      <c r="A525" s="760">
        <v>15</v>
      </c>
      <c r="B525" s="310" t="s">
        <v>262</v>
      </c>
      <c r="C525" s="226" t="s">
        <v>51</v>
      </c>
      <c r="D525" s="226" t="s">
        <v>31</v>
      </c>
      <c r="E525" s="226" t="s">
        <v>880</v>
      </c>
      <c r="F525" s="374">
        <f>(K459+K460+K464+K465+K469+K481+K493+K495+K499+K500+K501+K502+K503)</f>
        <v>722787.73049999983</v>
      </c>
      <c r="G525" s="374">
        <f t="shared" ref="G525:H525" si="117">(L459+L460+L464+L465+L469+L481+L493+L495+L499+L500+L501+L502+L503)</f>
        <v>892537.32149999985</v>
      </c>
      <c r="H525" s="374">
        <f t="shared" si="117"/>
        <v>1097924.8087500001</v>
      </c>
      <c r="I525" s="226">
        <v>0.32600000000000001</v>
      </c>
      <c r="J525" s="127">
        <f t="shared" si="87"/>
        <v>20685.482399999997</v>
      </c>
      <c r="K525" s="127">
        <f t="shared" si="88"/>
        <v>28560.069449999999</v>
      </c>
      <c r="L525" s="127">
        <f t="shared" si="89"/>
        <v>51831.237150000008</v>
      </c>
      <c r="M525" s="127">
        <f t="shared" si="108"/>
        <v>743473.21289999981</v>
      </c>
      <c r="N525" s="127">
        <f t="shared" si="109"/>
        <v>921097.3909499998</v>
      </c>
      <c r="O525" s="127">
        <f t="shared" si="110"/>
        <v>1149756.0459</v>
      </c>
      <c r="P525" s="450">
        <f>(N459+N460+N464+N465+N469+N481+N493+N495+N499+N500+N501+N502+N503)+$I$525*($N$461+$N$479+$N$489+$N$496)</f>
        <v>22978.004923076922</v>
      </c>
      <c r="Q525" s="450">
        <f>(O459+O460+O464+O465+O469+O481+O493+O495+O499+O500+O501+O502+O503)+$I$525*($O$461+$O$479+$O$489+$O$496)</f>
        <v>28571.659769230766</v>
      </c>
      <c r="R525" s="450">
        <f>(P459+P460+P464+P465+P469+P481+P493+P495+P499+P500+P501+P502+P503)+$I$525*($P$461+$P$479+$P$489+$P$496)</f>
        <v>35573.415307692303</v>
      </c>
    </row>
    <row r="526" spans="1:18" s="50" customFormat="1" ht="45" customHeight="1">
      <c r="A526" s="760">
        <v>16</v>
      </c>
      <c r="B526" s="310" t="s">
        <v>263</v>
      </c>
      <c r="C526" s="226" t="s">
        <v>51</v>
      </c>
      <c r="D526" s="226" t="s">
        <v>31</v>
      </c>
      <c r="E526" s="226" t="s">
        <v>880</v>
      </c>
      <c r="F526" s="374">
        <f>(K459+K460+K464+K465+K469+K481+K493+K495+K499+K500+K501+K502+K503)</f>
        <v>722787.73049999983</v>
      </c>
      <c r="G526" s="374">
        <f t="shared" ref="G526:H526" si="118">(L459+L460+L464+L465+L469+L481+L493+L495+L499+L500+L501+L502+L503)</f>
        <v>892537.32149999985</v>
      </c>
      <c r="H526" s="374">
        <f t="shared" si="118"/>
        <v>1097924.8087500001</v>
      </c>
      <c r="I526" s="226">
        <v>0.32600000000000001</v>
      </c>
      <c r="J526" s="127">
        <f t="shared" si="87"/>
        <v>20685.482399999997</v>
      </c>
      <c r="K526" s="127">
        <f t="shared" si="88"/>
        <v>28560.069449999999</v>
      </c>
      <c r="L526" s="127">
        <f t="shared" si="89"/>
        <v>51831.237150000008</v>
      </c>
      <c r="M526" s="127">
        <f t="shared" si="108"/>
        <v>743473.21289999981</v>
      </c>
      <c r="N526" s="127">
        <f t="shared" si="109"/>
        <v>921097.3909499998</v>
      </c>
      <c r="O526" s="127">
        <f t="shared" si="110"/>
        <v>1149756.0459</v>
      </c>
      <c r="P526" s="450">
        <f>(N459+N460+N464+N465+N469+N481+N493+N495+N499+N500+N501+N502+N503)+$I$526*($N$461+$N$479+$N$489+$N$496)</f>
        <v>22978.004923076922</v>
      </c>
      <c r="Q526" s="450">
        <f>(O459+O460+O464+O465+O469+O481+O493+O495+O499+O500+O501+O502+O503)+$I$526*($O$461+$O$479+$O$489+$O$496)</f>
        <v>28571.659769230766</v>
      </c>
      <c r="R526" s="450">
        <f>(P459+P460+P464+P465+P469+P481+P493+P495+P499+P500+P501+P502+P503)+$I$526*($P$461+$P$479+$P$489+$P$496)</f>
        <v>35573.415307692303</v>
      </c>
    </row>
    <row r="527" spans="1:18" s="50" customFormat="1" ht="52">
      <c r="A527" s="760">
        <v>17</v>
      </c>
      <c r="B527" s="310" t="s">
        <v>265</v>
      </c>
      <c r="C527" s="226" t="s">
        <v>51</v>
      </c>
      <c r="D527" s="226" t="s">
        <v>31</v>
      </c>
      <c r="E527" s="226" t="s">
        <v>880</v>
      </c>
      <c r="F527" s="374">
        <f>(K459+K460+K464+K465+K469+K481+K493+K495+K499+K500+K501+K502+K503)</f>
        <v>722787.73049999983</v>
      </c>
      <c r="G527" s="374">
        <f t="shared" ref="G527:H527" si="119">(L459+L460+L464+L465+L469+L481+L493+L495+L499+L500+L501+L502+L503)</f>
        <v>892537.32149999985</v>
      </c>
      <c r="H527" s="374">
        <f t="shared" si="119"/>
        <v>1097924.8087500001</v>
      </c>
      <c r="I527" s="226">
        <v>0.32600000000000001</v>
      </c>
      <c r="J527" s="127">
        <f t="shared" si="87"/>
        <v>20685.482399999997</v>
      </c>
      <c r="K527" s="127">
        <f t="shared" si="88"/>
        <v>28560.069449999999</v>
      </c>
      <c r="L527" s="127">
        <f t="shared" si="89"/>
        <v>51831.237150000008</v>
      </c>
      <c r="M527" s="127">
        <f>F527+J527</f>
        <v>743473.21289999981</v>
      </c>
      <c r="N527" s="127">
        <f t="shared" si="109"/>
        <v>921097.3909499998</v>
      </c>
      <c r="O527" s="127">
        <f t="shared" si="110"/>
        <v>1149756.0459</v>
      </c>
      <c r="P527" s="450">
        <f>(N459+N460+N464+N465+N469+N481+N493+N495+N499+N500+N501+N502+N503)+$I$527*($N$461+$N$479+$N$489+$N$496)</f>
        <v>22978.004923076922</v>
      </c>
      <c r="Q527" s="450">
        <f>(O459+O460+O464+O465+O469+O481+O493+O495+O499+O500+O501+O502+O503)+$I$527*($O$461+$O$479+$O$489+$O$496)</f>
        <v>28571.659769230766</v>
      </c>
      <c r="R527" s="450">
        <f>(P459+P460+P464+P465+P469+P481+P493+P495+P499+P500+P501+P502+P503)+$I$527*($P$461+$P$479+$P$489+$P$496)</f>
        <v>35573.415307692303</v>
      </c>
    </row>
    <row r="528" spans="1:18" s="50" customFormat="1" ht="52">
      <c r="A528" s="760">
        <v>18</v>
      </c>
      <c r="B528" s="310" t="s">
        <v>267</v>
      </c>
      <c r="C528" s="226" t="s">
        <v>51</v>
      </c>
      <c r="D528" s="226" t="s">
        <v>31</v>
      </c>
      <c r="E528" s="226" t="s">
        <v>881</v>
      </c>
      <c r="F528" s="374">
        <f>(K459+K460+K464+K465+K469+K481+K493+K495+K499+K500+K501+K502+K503)</f>
        <v>722787.73049999983</v>
      </c>
      <c r="G528" s="374">
        <f t="shared" ref="G528:H528" si="120">(L459+L460+L464+L465+L469+L481+L493+L495+L499+L500+L501+L502+L503)</f>
        <v>892537.32149999985</v>
      </c>
      <c r="H528" s="374">
        <f t="shared" si="120"/>
        <v>1097924.8087500001</v>
      </c>
      <c r="I528" s="226">
        <v>0.17399999999999999</v>
      </c>
      <c r="J528" s="127">
        <f t="shared" si="87"/>
        <v>11040.717599999998</v>
      </c>
      <c r="K528" s="127">
        <f t="shared" si="88"/>
        <v>15243.718049999998</v>
      </c>
      <c r="L528" s="127">
        <f t="shared" si="89"/>
        <v>27664.525350000004</v>
      </c>
      <c r="M528" s="127">
        <f>F528+J528</f>
        <v>733828.4480999998</v>
      </c>
      <c r="N528" s="127">
        <f t="shared" ref="N528" si="121">G528+K528</f>
        <v>907781.03954999987</v>
      </c>
      <c r="O528" s="127">
        <f t="shared" ref="O528" si="122">H528+L528</f>
        <v>1125589.3341000001</v>
      </c>
      <c r="P528" s="450">
        <f>(N459+N460+N464+N465+N469+N481+N493+N495+N499+N500+N501+N502+N503)+$I$528*($N$461+$N$479+$N$489+$N$496)</f>
        <v>22717.687384615383</v>
      </c>
      <c r="Q528" s="450">
        <f>(O459+O460+O464+O465+O469+O481+O493+O495+O499+O500+O501+O502+O503)+$I$528*($O$461+$O$479+$O$489+$O$496)</f>
        <v>28212.244076923071</v>
      </c>
      <c r="R528" s="450">
        <f>(P459+P460+P464+P465+P469+P481+P493+P495+P499+P500+P501+P502+P503)+$I$528*($P$461+$P$479+$P$489+$P$496)</f>
        <v>34921.142384615378</v>
      </c>
    </row>
    <row r="529" spans="1:18" s="50" customFormat="1" ht="52">
      <c r="A529" s="760">
        <v>19</v>
      </c>
      <c r="B529" s="310" t="s">
        <v>763</v>
      </c>
      <c r="C529" s="226" t="s">
        <v>51</v>
      </c>
      <c r="D529" s="226" t="s">
        <v>31</v>
      </c>
      <c r="E529" s="226" t="s">
        <v>880</v>
      </c>
      <c r="F529" s="374">
        <f>(K459+K460+K464+K465+K469+K481+K493+K495+K499+K500+K501+K502+K503)</f>
        <v>722787.73049999983</v>
      </c>
      <c r="G529" s="374">
        <f t="shared" ref="G529:H529" si="123">(L459+L460+L464+L465+L469+L481+L493+L495+L499+L500+L501+L502+L503)</f>
        <v>892537.32149999985</v>
      </c>
      <c r="H529" s="374">
        <f t="shared" si="123"/>
        <v>1097924.8087500001</v>
      </c>
      <c r="I529" s="226">
        <v>0.32600000000000001</v>
      </c>
      <c r="J529" s="127">
        <f t="shared" si="87"/>
        <v>20685.482399999997</v>
      </c>
      <c r="K529" s="127">
        <f t="shared" si="88"/>
        <v>28560.069449999999</v>
      </c>
      <c r="L529" s="127">
        <f t="shared" si="89"/>
        <v>51831.237150000008</v>
      </c>
      <c r="M529" s="127">
        <f>F529+J529</f>
        <v>743473.21289999981</v>
      </c>
      <c r="N529" s="127">
        <f t="shared" ref="N529" si="124">G529+K529</f>
        <v>921097.3909499998</v>
      </c>
      <c r="O529" s="127">
        <f t="shared" ref="O529" si="125">H529+L529</f>
        <v>1149756.0459</v>
      </c>
      <c r="P529" s="450">
        <f>(N459+N460+N464+N465+N469+N481+N493+N495+N499+N500+N501+N502+N503)+$I$529*($N$461+$N$479+$N$489+$N$496)</f>
        <v>22978.004923076922</v>
      </c>
      <c r="Q529" s="450">
        <f>(O459+O460+O464+O465+O469+O481+O493+O495+O499+O500+O501+O502+O503)+$I$529*($O$461+$O$479+$O$489+$O$496)</f>
        <v>28571.659769230766</v>
      </c>
      <c r="R529" s="450">
        <f>(P459+P460+P464+P465+P469+P481+P493+P495+P499+P500+P501+P502+P503)+$I$529*($P$461+$P$479+$P$489+$P$496)</f>
        <v>35573.415307692303</v>
      </c>
    </row>
    <row r="530" spans="1:18" s="50" customFormat="1" ht="52">
      <c r="A530" s="760">
        <v>20</v>
      </c>
      <c r="B530" s="310" t="s">
        <v>270</v>
      </c>
      <c r="C530" s="226" t="s">
        <v>51</v>
      </c>
      <c r="D530" s="226" t="s">
        <v>31</v>
      </c>
      <c r="E530" s="226" t="s">
        <v>880</v>
      </c>
      <c r="F530" s="374">
        <f>(K459+K460+K464+K465+K469+K481+K493+K495+K499+K500+K501+K502+K503)</f>
        <v>722787.73049999983</v>
      </c>
      <c r="G530" s="374">
        <f t="shared" ref="G530:H530" si="126">(L459+L460+L464+L465+L469+L481+L493+L495+L499+L500+L501+L502+L503)</f>
        <v>892537.32149999985</v>
      </c>
      <c r="H530" s="374">
        <f t="shared" si="126"/>
        <v>1097924.8087500001</v>
      </c>
      <c r="I530" s="226">
        <v>0.23899999999999999</v>
      </c>
      <c r="J530" s="127">
        <f t="shared" si="87"/>
        <v>15165.123599999997</v>
      </c>
      <c r="K530" s="127">
        <f t="shared" si="88"/>
        <v>20938.210424999997</v>
      </c>
      <c r="L530" s="127">
        <f t="shared" si="89"/>
        <v>37998.974475000003</v>
      </c>
      <c r="M530" s="127">
        <f>F530+J530</f>
        <v>737952.85409999988</v>
      </c>
      <c r="N530" s="127">
        <f t="shared" ref="N530" si="127">G530+K530</f>
        <v>913475.53192499978</v>
      </c>
      <c r="O530" s="127">
        <f t="shared" ref="O530" si="128">H530+L530</f>
        <v>1135923.7832250001</v>
      </c>
      <c r="P530" s="450">
        <f>(N459+N460+N464+N465+N469+N481+N493+N495+N499+N500+N501+N502+N503)+$I$530*($N$461+$N$479+$N$489+$N$496)</f>
        <v>22829.007384615383</v>
      </c>
      <c r="Q530" s="450">
        <f>(O459+O460+O464+O465+O469+O481+O493+O495+O499+O500+O501+O502+O503)+$I$530*($O$461+$O$479+$O$489+$O$496)</f>
        <v>28365.941576923073</v>
      </c>
      <c r="R530" s="450">
        <f>(P459+P460+P464+P465+P469+P481+P493+P495+P499+P500+P501+P502+P503)+$I$530*($P$461+$P$479+$P$489+$P$496)</f>
        <v>35200.07488461538</v>
      </c>
    </row>
    <row r="531" spans="1:18" s="50" customFormat="1" ht="52">
      <c r="A531" s="760">
        <v>21</v>
      </c>
      <c r="B531" s="310" t="s">
        <v>272</v>
      </c>
      <c r="C531" s="226" t="s">
        <v>51</v>
      </c>
      <c r="D531" s="226" t="s">
        <v>31</v>
      </c>
      <c r="E531" s="226" t="s">
        <v>882</v>
      </c>
      <c r="F531" s="374">
        <f>(K459+K460+K464+K465+K469+K481+K493+K495+K499+K500+K501+K502+K503)</f>
        <v>722787.73049999983</v>
      </c>
      <c r="G531" s="374">
        <f t="shared" ref="G531:H531" si="129">(L459+L460+L464+L465+L469+L481+L493+L495+L499+L500+L501+L502+L503)</f>
        <v>892537.32149999985</v>
      </c>
      <c r="H531" s="374">
        <f t="shared" si="129"/>
        <v>1097924.8087500001</v>
      </c>
      <c r="I531" s="226">
        <v>0.47799999999999998</v>
      </c>
      <c r="J531" s="127">
        <f t="shared" si="87"/>
        <v>30330.247199999994</v>
      </c>
      <c r="K531" s="127">
        <f t="shared" si="88"/>
        <v>41876.420849999995</v>
      </c>
      <c r="L531" s="127">
        <f t="shared" si="89"/>
        <v>75997.948950000005</v>
      </c>
      <c r="M531" s="127">
        <f t="shared" ref="M531:M532" si="130">F531+J531</f>
        <v>753117.97769999981</v>
      </c>
      <c r="N531" s="127">
        <f t="shared" ref="N531:N532" si="131">G531+K531</f>
        <v>934413.74234999984</v>
      </c>
      <c r="O531" s="127">
        <f t="shared" ref="O531:O532" si="132">H531+L531</f>
        <v>1173922.7577000002</v>
      </c>
      <c r="P531" s="450">
        <f>(N459+N460+N464+N465+N469+N481+N493+N495+N499+N500+N501+N502+N503)+$I$531*($N$461+$N$479+$N$489+$N$496)</f>
        <v>23238.322461538461</v>
      </c>
      <c r="Q531" s="450">
        <f>(O459+O460+O464+O465+O469+O481+O493+O495+O499+O500+O501+O502+O503)+$I$531*($O$461+$O$479+$O$489+$O$496)</f>
        <v>28931.075461538458</v>
      </c>
      <c r="R531" s="450">
        <f>(P459+P460+P464+P465+P469+P481+P493+P495+P499+P500+P501+P502+P503)+$I$531*($P$461+$P$479+$P$489+$P$496)</f>
        <v>36225.688230769221</v>
      </c>
    </row>
    <row r="532" spans="1:18" s="50" customFormat="1" ht="52">
      <c r="A532" s="760">
        <v>22</v>
      </c>
      <c r="B532" s="310" t="s">
        <v>274</v>
      </c>
      <c r="C532" s="226" t="s">
        <v>51</v>
      </c>
      <c r="D532" s="226" t="s">
        <v>31</v>
      </c>
      <c r="E532" s="226" t="s">
        <v>882</v>
      </c>
      <c r="F532" s="374">
        <f>(K459+K460+K464+K465+K469+K481+K493+K495+K499+K500+K501+K502+K503)</f>
        <v>722787.73049999983</v>
      </c>
      <c r="G532" s="374">
        <f t="shared" ref="G532:H532" si="133">(L459+L460+L464+L465+L469+L481+L493+L495+L499+L500+L501+L502+L503)</f>
        <v>892537.32149999985</v>
      </c>
      <c r="H532" s="374">
        <f t="shared" si="133"/>
        <v>1097924.8087500001</v>
      </c>
      <c r="I532" s="226">
        <v>0.23899999999999999</v>
      </c>
      <c r="J532" s="127">
        <f t="shared" si="87"/>
        <v>15165.123599999997</v>
      </c>
      <c r="K532" s="127">
        <f t="shared" si="88"/>
        <v>20938.210424999997</v>
      </c>
      <c r="L532" s="127">
        <f t="shared" si="89"/>
        <v>37998.974475000003</v>
      </c>
      <c r="M532" s="127">
        <f t="shared" si="130"/>
        <v>737952.85409999988</v>
      </c>
      <c r="N532" s="127">
        <f t="shared" si="131"/>
        <v>913475.53192499978</v>
      </c>
      <c r="O532" s="127">
        <f t="shared" si="132"/>
        <v>1135923.7832250001</v>
      </c>
      <c r="P532" s="450">
        <f>(N459+N460+N464+N465+N469+N481+N493+N495+N499+N500+N501+N502+N503)+$I$532*($N$461+$N$479+$N$489+$N$496)</f>
        <v>22829.007384615383</v>
      </c>
      <c r="Q532" s="450">
        <f>(O459+O460+O464+O465+O469+O481+O493+O495+O499+O500+O501+O502+O503)+$I$532*($O$461+$O$479+$O$489+$O$496)</f>
        <v>28365.941576923073</v>
      </c>
      <c r="R532" s="450">
        <f>(P459+P460+P464+P465+P469+P481+P493+P495+P499+P500+P501+P502+P503)+$I$532*($P$461+$P$479+$P$489+$P$496)</f>
        <v>35200.07488461538</v>
      </c>
    </row>
    <row r="533" spans="1:18" s="50" customFormat="1" ht="65">
      <c r="A533" s="760">
        <v>23</v>
      </c>
      <c r="B533" s="310" t="s">
        <v>276</v>
      </c>
      <c r="C533" s="226" t="s">
        <v>51</v>
      </c>
      <c r="D533" s="226" t="s">
        <v>31</v>
      </c>
      <c r="E533" s="226" t="s">
        <v>880</v>
      </c>
      <c r="F533" s="374">
        <f>(K459+K460+K464+K465+K469+K481+K493+K495+K499+K500+K501+K502+K503)</f>
        <v>722787.73049999983</v>
      </c>
      <c r="G533" s="374">
        <f t="shared" ref="G533:H533" si="134">(L459+L460+L464+L465+L469+L481+L493+L495+L499+L500+L501+L502+L503)</f>
        <v>892537.32149999985</v>
      </c>
      <c r="H533" s="374">
        <f t="shared" si="134"/>
        <v>1097924.8087500001</v>
      </c>
      <c r="I533" s="226">
        <v>0.30399999999999999</v>
      </c>
      <c r="J533" s="127">
        <f t="shared" si="87"/>
        <v>19289.529599999998</v>
      </c>
      <c r="K533" s="127">
        <f t="shared" si="88"/>
        <v>26632.702799999999</v>
      </c>
      <c r="L533" s="127">
        <f t="shared" si="89"/>
        <v>48333.423600000009</v>
      </c>
      <c r="M533" s="127">
        <f t="shared" ref="M533:M534" si="135">F533+J533</f>
        <v>742077.26009999984</v>
      </c>
      <c r="N533" s="127">
        <f t="shared" ref="N533:N534" si="136">G533+K533</f>
        <v>919170.02429999982</v>
      </c>
      <c r="O533" s="127">
        <f t="shared" ref="O533:O534" si="137">H533+L533</f>
        <v>1146258.2323500002</v>
      </c>
      <c r="P533" s="450">
        <f>(N459+N460+N464+N465+N469+N481+N493+N495+N499+N500+N501+N502+N503)+$I$533*($N$461+$N$479+$N$489+$N$496)</f>
        <v>22940.327384615382</v>
      </c>
      <c r="Q533" s="450">
        <f>(O459+O460+O464+O465+O469+O481+O493+O495+O499+O500+O501+O502+O503)+$I$533*($O$461+$O$479+$O$489+$O$496)</f>
        <v>28519.639076923071</v>
      </c>
      <c r="R533" s="450">
        <f>(P459+P460+P464+P465+P469+P481+P493+P495+P499+P500+P501+P502+P503)+$I$533*($P$461+$P$479+$P$489+$P$496)</f>
        <v>35479.007384615375</v>
      </c>
    </row>
    <row r="534" spans="1:18" s="50" customFormat="1" ht="52">
      <c r="A534" s="760">
        <v>24</v>
      </c>
      <c r="B534" s="310" t="s">
        <v>278</v>
      </c>
      <c r="C534" s="226" t="s">
        <v>51</v>
      </c>
      <c r="D534" s="226" t="s">
        <v>31</v>
      </c>
      <c r="E534" s="226" t="s">
        <v>880</v>
      </c>
      <c r="F534" s="374">
        <f>(K459+K460+K464+K465+K469+K481+K493+K495+K499+K500+K501+K502+K503)</f>
        <v>722787.73049999983</v>
      </c>
      <c r="G534" s="374">
        <f t="shared" ref="G534:H534" si="138">(L459+L460+L464+L465+L469+L481+L493+L495+L499+L500+L501+L502+L503)</f>
        <v>892537.32149999985</v>
      </c>
      <c r="H534" s="374">
        <f t="shared" si="138"/>
        <v>1097924.8087500001</v>
      </c>
      <c r="I534" s="226">
        <v>0.56499999999999995</v>
      </c>
      <c r="J534" s="127">
        <f t="shared" si="87"/>
        <v>35850.605999999992</v>
      </c>
      <c r="K534" s="127">
        <f t="shared" si="88"/>
        <v>49498.279874999993</v>
      </c>
      <c r="L534" s="127">
        <f t="shared" si="89"/>
        <v>89830.211625000011</v>
      </c>
      <c r="M534" s="127">
        <f t="shared" si="135"/>
        <v>758638.33649999986</v>
      </c>
      <c r="N534" s="127">
        <f t="shared" si="136"/>
        <v>942035.60137499985</v>
      </c>
      <c r="O534" s="127">
        <f t="shared" si="137"/>
        <v>1187755.0203750001</v>
      </c>
      <c r="P534" s="450">
        <f>(N459+N460+N464+N465+N469+N481+N493+N495+N499+N500+N501+N502+N503)+$I$534*($N$461+$N$479+$N$489+$N$496)</f>
        <v>23387.319999999996</v>
      </c>
      <c r="Q534" s="450">
        <f>(O459+O460+O464+O465+O469+O481+O493+O495+O499+O500+O501+O502+O503)+$I$534*($O$461+$O$479+$O$489+$O$496)</f>
        <v>29136.793653846151</v>
      </c>
      <c r="R534" s="450">
        <f>(P459+P460+P464+P465+P469+P481+P493+P495+P499+P500+P501+P502+P503)+$I$534*($P$461+$P$479+$P$489+$P$496)</f>
        <v>36599.028653846144</v>
      </c>
    </row>
    <row r="535" spans="1:18" s="50" customFormat="1" ht="52">
      <c r="A535" s="760">
        <v>25</v>
      </c>
      <c r="B535" s="310" t="s">
        <v>280</v>
      </c>
      <c r="C535" s="226" t="s">
        <v>51</v>
      </c>
      <c r="D535" s="226" t="s">
        <v>31</v>
      </c>
      <c r="E535" s="226" t="s">
        <v>880</v>
      </c>
      <c r="F535" s="374">
        <f>(K459+K460+K464+K465+K469+K481+K493+K495+K499+K500+K501+K502+K503)</f>
        <v>722787.73049999983</v>
      </c>
      <c r="G535" s="374">
        <f t="shared" ref="G535:H535" si="139">(L459+L460+L464+L465+L469+L481+L493+L495+L499+L500+L501+L502+L503)</f>
        <v>892537.32149999985</v>
      </c>
      <c r="H535" s="374">
        <f t="shared" si="139"/>
        <v>1097924.8087500001</v>
      </c>
      <c r="I535" s="226">
        <v>0.315</v>
      </c>
      <c r="J535" s="127">
        <f t="shared" si="87"/>
        <v>19987.505999999998</v>
      </c>
      <c r="K535" s="127">
        <f t="shared" si="88"/>
        <v>27596.386125000001</v>
      </c>
      <c r="L535" s="127">
        <f t="shared" si="89"/>
        <v>50082.330375000005</v>
      </c>
      <c r="M535" s="127">
        <f t="shared" ref="M535" si="140">F535+J535</f>
        <v>742775.23649999988</v>
      </c>
      <c r="N535" s="127">
        <f t="shared" ref="N535" si="141">G535+K535</f>
        <v>920133.70762499981</v>
      </c>
      <c r="O535" s="127">
        <f t="shared" ref="O535" si="142">H535+L535</f>
        <v>1148007.139125</v>
      </c>
      <c r="P535" s="450">
        <f>(N459+N460+N464+N465+N469+N481+N493+N495+N499+N500+N501+N502+N503)+$I$535*($N$461+$N$479+$N$489+$N$496)</f>
        <v>22959.166153846152</v>
      </c>
      <c r="Q535" s="450">
        <f>(O459+O460+O464+O465+O469+O481+O493+O495+O499+O500+O501+O502+O503)+$I$535*($O$461+$O$479+$O$489+$O$496)</f>
        <v>28545.64942307692</v>
      </c>
      <c r="R535" s="450">
        <f>(P459+P460+P464+P465+P469+P481+P493+P495+P499+P500+P501+P502+P503)+$I$535*($P$461+$P$479+$P$489+$P$496)</f>
        <v>35526.211346153839</v>
      </c>
    </row>
    <row r="536" spans="1:18" s="50" customFormat="1" ht="52">
      <c r="A536" s="760">
        <v>26</v>
      </c>
      <c r="B536" s="310" t="s">
        <v>282</v>
      </c>
      <c r="C536" s="226" t="s">
        <v>51</v>
      </c>
      <c r="D536" s="226" t="s">
        <v>31</v>
      </c>
      <c r="E536" s="226" t="s">
        <v>877</v>
      </c>
      <c r="F536" s="374">
        <f>(K459+K460+K464+K465+K469+K481+K493+K495+K499+K500+K501+K502+K503)</f>
        <v>722787.73049999983</v>
      </c>
      <c r="G536" s="374">
        <f t="shared" ref="G536:H536" si="143">(L459+L460+L464+L465+L469+L481+L493+L495+L499+L500+L501+L502+L503)</f>
        <v>892537.32149999985</v>
      </c>
      <c r="H536" s="374">
        <f t="shared" si="143"/>
        <v>1097924.8087500001</v>
      </c>
      <c r="I536" s="226">
        <v>0.13</v>
      </c>
      <c r="J536" s="127">
        <f t="shared" si="87"/>
        <v>8248.8119999999999</v>
      </c>
      <c r="K536" s="127">
        <f t="shared" si="88"/>
        <v>11388.98475</v>
      </c>
      <c r="L536" s="127">
        <f t="shared" si="89"/>
        <v>20668.898250000002</v>
      </c>
      <c r="M536" s="127">
        <f t="shared" ref="M536" si="144">F536+J536</f>
        <v>731036.54249999986</v>
      </c>
      <c r="N536" s="127">
        <f t="shared" ref="N536" si="145">G536+K536</f>
        <v>903926.30624999979</v>
      </c>
      <c r="O536" s="127">
        <f t="shared" ref="O536" si="146">H536+L536</f>
        <v>1118593.7070000002</v>
      </c>
      <c r="P536" s="450">
        <f>(N459+N460+N464+N465+N469+N481+N493+N495+N499+N500+N501+N502+N503)+$I$536*($N$461+$N$479+$N$489+$N$496)</f>
        <v>22642.332307692304</v>
      </c>
      <c r="Q536" s="450">
        <f>(O459+O460+O464+O465+O469+O481+O493+O495+O499+O500+O501+O502+O503)+$I$536*($O$461+$O$479+$O$489+$O$496)</f>
        <v>28108.202692307688</v>
      </c>
      <c r="R536" s="450">
        <f>(P459+P460+P464+P465+P469+P481+P493+P495+P499+P500+P501+P502+P503)+$I$536*($P$461+$P$479+$P$489+$P$496)</f>
        <v>34732.32653846153</v>
      </c>
    </row>
    <row r="537" spans="1:18" s="50" customFormat="1" ht="52">
      <c r="A537" s="760">
        <v>27</v>
      </c>
      <c r="B537" s="310" t="s">
        <v>284</v>
      </c>
      <c r="C537" s="226" t="s">
        <v>51</v>
      </c>
      <c r="D537" s="226" t="s">
        <v>31</v>
      </c>
      <c r="E537" s="226" t="s">
        <v>883</v>
      </c>
      <c r="F537" s="374">
        <f>(K459+K460+K464+K465+K481+K493+K495+K499+K500+K501+K502+K503)</f>
        <v>352889.08049999987</v>
      </c>
      <c r="G537" s="374">
        <f t="shared" ref="G537:H537" si="147">(L459+L460+L464+L465+L481+L493+L495+L499+L500+L501+L502+L503)</f>
        <v>337689.34649999987</v>
      </c>
      <c r="H537" s="374">
        <f t="shared" si="147"/>
        <v>432107.23874999996</v>
      </c>
      <c r="I537" s="226">
        <v>0.23899999999999999</v>
      </c>
      <c r="J537" s="127">
        <f t="shared" si="87"/>
        <v>15165.123599999997</v>
      </c>
      <c r="K537" s="127">
        <f t="shared" si="88"/>
        <v>20938.210424999997</v>
      </c>
      <c r="L537" s="127">
        <f t="shared" si="89"/>
        <v>37998.974475000003</v>
      </c>
      <c r="M537" s="127">
        <f t="shared" ref="M537" si="148">F537+J537</f>
        <v>368054.20409999986</v>
      </c>
      <c r="N537" s="127">
        <f t="shared" ref="N537" si="149">G537+K537</f>
        <v>358627.55692499987</v>
      </c>
      <c r="O537" s="127">
        <f t="shared" ref="O537" si="150">H537+L537</f>
        <v>470106.21322499996</v>
      </c>
      <c r="P537" s="450">
        <f>(N459+N460+N464+N465+N481+N493+N495+N499+N500+N501+N502+N503)+$I$537*($N$461+$N$479+$N$489+$N$496)</f>
        <v>11152.084307692305</v>
      </c>
      <c r="Q537" s="450">
        <f>(O459+O460+O464+O465+O481+O493+O495+O499+O500+O501+O502+O503)+$I$537*($O$461+$O$479+$O$489+$O$496)</f>
        <v>10850.556961538461</v>
      </c>
      <c r="R537" s="450">
        <f>(P459+P460+P464+P465+P481+P493+P495+P499+P500+P501+P502+P503)+$I$537*($P$461+$P$479+$P$489+$P$496)</f>
        <v>14181.613346153845</v>
      </c>
    </row>
    <row r="538" spans="1:18" s="50" customFormat="1" ht="52">
      <c r="A538" s="760">
        <v>28</v>
      </c>
      <c r="B538" s="310" t="s">
        <v>286</v>
      </c>
      <c r="C538" s="226" t="s">
        <v>51</v>
      </c>
      <c r="D538" s="226" t="s">
        <v>31</v>
      </c>
      <c r="E538" s="226" t="s">
        <v>882</v>
      </c>
      <c r="F538" s="374">
        <f>(K459+K460+K464+K465+K469+K481+K493+K495+K499+K500+K501+K502+K503)</f>
        <v>722787.73049999983</v>
      </c>
      <c r="G538" s="374">
        <f t="shared" ref="G538:H538" si="151">(L459+L460+L464+L465+L469+L481+L493+L495+L499+L500+L501+L502+L503)</f>
        <v>892537.32149999985</v>
      </c>
      <c r="H538" s="374">
        <f t="shared" si="151"/>
        <v>1097924.8087500001</v>
      </c>
      <c r="I538" s="226">
        <v>0.315</v>
      </c>
      <c r="J538" s="127">
        <f t="shared" si="87"/>
        <v>19987.505999999998</v>
      </c>
      <c r="K538" s="127">
        <f t="shared" si="88"/>
        <v>27596.386125000001</v>
      </c>
      <c r="L538" s="127">
        <f t="shared" si="89"/>
        <v>50082.330375000005</v>
      </c>
      <c r="M538" s="127">
        <f t="shared" ref="M538" si="152">F538+J538</f>
        <v>742775.23649999988</v>
      </c>
      <c r="N538" s="127">
        <f t="shared" ref="N538" si="153">G538+K538</f>
        <v>920133.70762499981</v>
      </c>
      <c r="O538" s="127">
        <f t="shared" ref="O538" si="154">H538+L538</f>
        <v>1148007.139125</v>
      </c>
      <c r="P538" s="450">
        <f>(N459+N460+N464+N465+N469+N481+N493+N495+N499+N500+N501+N502+N503)+$I$538*($N$461+$N$479+$N$489+$N$496)</f>
        <v>22959.166153846152</v>
      </c>
      <c r="Q538" s="450">
        <f>(O459+O460+O464+O465+O469+O481+O493+O495+O499+O500+O501+O502+O503)+$I$538*($O$461+$O$479+$O$489+$O$496)</f>
        <v>28545.64942307692</v>
      </c>
      <c r="R538" s="450">
        <f>(P459+P460+P464+P465+P469+P481+P493+P495+P499+P500+P501+P502+P503)+$I$538*($P$461+$P$479+$P$489+$P$496)</f>
        <v>35526.211346153839</v>
      </c>
    </row>
    <row r="539" spans="1:18" s="24" customFormat="1" ht="24.75" customHeight="1">
      <c r="A539" s="23" t="s">
        <v>307</v>
      </c>
      <c r="B539" s="274"/>
      <c r="C539" s="275"/>
      <c r="D539" s="275"/>
      <c r="E539" s="275"/>
      <c r="F539" s="275"/>
      <c r="G539" s="276"/>
      <c r="H539" s="277"/>
      <c r="I539" s="277"/>
      <c r="J539" s="742"/>
      <c r="K539" s="277"/>
    </row>
    <row r="540" spans="1:18" s="23" customFormat="1" ht="15" customHeight="1">
      <c r="A540" s="952" t="s">
        <v>23</v>
      </c>
      <c r="B540" s="952" t="s">
        <v>44</v>
      </c>
      <c r="C540" s="944" t="s">
        <v>38</v>
      </c>
      <c r="D540" s="479"/>
      <c r="E540" s="944" t="s">
        <v>16</v>
      </c>
      <c r="F540" s="479" t="s">
        <v>96</v>
      </c>
      <c r="G540" s="943" t="s">
        <v>297</v>
      </c>
      <c r="H540" s="943"/>
      <c r="I540" s="943"/>
      <c r="J540" s="941" t="s">
        <v>309</v>
      </c>
      <c r="K540" s="943" t="s">
        <v>35</v>
      </c>
      <c r="L540" s="943"/>
      <c r="M540" s="943"/>
      <c r="N540" s="977" t="s">
        <v>313</v>
      </c>
      <c r="O540" s="978"/>
      <c r="P540" s="979"/>
    </row>
    <row r="541" spans="1:18" s="23" customFormat="1" ht="26">
      <c r="A541" s="952"/>
      <c r="B541" s="952"/>
      <c r="C541" s="944"/>
      <c r="D541" s="479"/>
      <c r="E541" s="944"/>
      <c r="F541" s="479" t="s">
        <v>24</v>
      </c>
      <c r="G541" s="480" t="s">
        <v>316</v>
      </c>
      <c r="H541" s="480" t="s">
        <v>315</v>
      </c>
      <c r="I541" s="480" t="s">
        <v>314</v>
      </c>
      <c r="J541" s="942"/>
      <c r="K541" s="480" t="s">
        <v>316</v>
      </c>
      <c r="L541" s="480" t="s">
        <v>315</v>
      </c>
      <c r="M541" s="480" t="s">
        <v>314</v>
      </c>
      <c r="N541" s="757" t="s">
        <v>316</v>
      </c>
      <c r="O541" s="757" t="s">
        <v>315</v>
      </c>
      <c r="P541" s="757" t="s">
        <v>314</v>
      </c>
    </row>
    <row r="542" spans="1:18" s="50" customFormat="1" ht="33.75" customHeight="1">
      <c r="A542" s="604" t="str">
        <f>L_CViec!A427</f>
        <v>VIII</v>
      </c>
      <c r="B542" s="973" t="str">
        <f>L_CViec!B427</f>
        <v xml:space="preserve">Đăng ký biến động đất đai đối với tổ chức, tổ chức tôn giáo, tổ chức tôn giáo trực thuộc, tổ chức nước ngoài có chức năng ngoại giao, tổ chức kinh tế có vốn đầu tư nước ngoài, tổ chức nước ngoài, cá nhân nước ngoài </v>
      </c>
      <c r="C542" s="973"/>
      <c r="D542" s="973"/>
      <c r="E542" s="973"/>
      <c r="F542" s="973"/>
      <c r="G542" s="973"/>
      <c r="H542" s="973"/>
      <c r="I542" s="973"/>
      <c r="J542" s="973"/>
      <c r="K542" s="475"/>
      <c r="L542" s="475"/>
      <c r="M542" s="475"/>
      <c r="N542" s="707"/>
      <c r="O542" s="707"/>
      <c r="P542" s="707"/>
    </row>
    <row r="543" spans="1:18" s="50" customFormat="1" ht="30" customHeight="1">
      <c r="A543" s="223" t="str">
        <f>L_CViec!A428</f>
        <v>VIII.1</v>
      </c>
      <c r="B543" s="408" t="str">
        <f>L_CViec!B428</f>
        <v>CÁC NỘI DUNG THỰC HIỆN TẠI ĐỊA BÀN CẤP TỈNH</v>
      </c>
      <c r="C543" s="408">
        <f>L_CViec!AD428</f>
        <v>0</v>
      </c>
      <c r="D543" s="408"/>
      <c r="E543" s="408">
        <f>L_CViec!AE428</f>
        <v>0</v>
      </c>
      <c r="F543" s="408">
        <f>L_CViec!AF428</f>
        <v>0</v>
      </c>
      <c r="G543" s="223"/>
      <c r="H543" s="475"/>
      <c r="I543" s="475"/>
      <c r="J543" s="718"/>
      <c r="K543" s="475">
        <f>SUM(K546,K547,K548,K557,K559,K561,K566,K569,K571,K573,K555,K556,K562,K558,K560,K563,K575,K576,K577,K578,K584,K551,K552,K581,K582,K583)</f>
        <v>2749969.3319999999</v>
      </c>
      <c r="L543" s="475">
        <f t="shared" ref="L543:P543" si="155">SUM(L546,L547,L548,L557,L559,L561,L566,L569,L571,L573,L555,L556,L562,L558,L560,L563,L575,L576,L577,L578,L584,L551,L552,L581,L582,L583)</f>
        <v>2708090.7480000001</v>
      </c>
      <c r="M543" s="475">
        <f t="shared" si="155"/>
        <v>3450602.8012500005</v>
      </c>
      <c r="N543" s="475">
        <f t="shared" si="155"/>
        <v>76912.000000000015</v>
      </c>
      <c r="O543" s="475">
        <f t="shared" si="155"/>
        <v>75734.576923076922</v>
      </c>
      <c r="P543" s="475">
        <f t="shared" si="155"/>
        <v>96500.038461538454</v>
      </c>
    </row>
    <row r="544" spans="1:18" s="50" customFormat="1">
      <c r="A544" s="226" t="str">
        <f>L_CViec!A429</f>
        <v>1</v>
      </c>
      <c r="B544" s="227" t="str">
        <f>L_CViec!B429</f>
        <v>Hướng dẫn lập hồ sơ đăng ký biến động đất đai</v>
      </c>
      <c r="C544" s="226">
        <f>L_CViec!AD429</f>
        <v>0</v>
      </c>
      <c r="D544" s="226"/>
      <c r="E544" s="226">
        <f>L_CViec!AE429</f>
        <v>0</v>
      </c>
      <c r="F544" s="226">
        <f>L_CViec!AF429</f>
        <v>0</v>
      </c>
      <c r="G544" s="226">
        <f>L_CViec!AG429</f>
        <v>0</v>
      </c>
      <c r="H544" s="283">
        <f>L_CViec!AH429</f>
        <v>0</v>
      </c>
      <c r="I544" s="283">
        <f>L_CViec!AI429</f>
        <v>0</v>
      </c>
      <c r="J544" s="718">
        <f>L_CViec!AJ429</f>
        <v>0</v>
      </c>
      <c r="K544" s="127"/>
      <c r="L544" s="127"/>
      <c r="M544" s="127"/>
      <c r="N544" s="707"/>
      <c r="O544" s="707"/>
      <c r="P544" s="707"/>
    </row>
    <row r="545" spans="1:16" s="50" customFormat="1">
      <c r="A545" s="226" t="str">
        <f>L_CViec!A430</f>
        <v>1.1</v>
      </c>
      <c r="B545" s="227" t="str">
        <f>L_CViec!B430</f>
        <v>Theo hình thức trực tiếp</v>
      </c>
      <c r="C545" s="226" t="str">
        <f>L_CViec!AD430</f>
        <v>Hồ sơ</v>
      </c>
      <c r="D545" s="226">
        <f>L_CViec!AC430</f>
        <v>1</v>
      </c>
      <c r="E545" s="226" t="str">
        <f>L_CViec!AE430</f>
        <v>1KS3</v>
      </c>
      <c r="F545" s="226" t="str">
        <f>L_CViec!AF430</f>
        <v>1-3</v>
      </c>
      <c r="G545" s="226">
        <f>L_CViec!AG430</f>
        <v>0.2</v>
      </c>
      <c r="H545" s="283">
        <f>L_CViec!AH430</f>
        <v>0.2</v>
      </c>
      <c r="I545" s="283">
        <f>L_CViec!AI430</f>
        <v>0.26</v>
      </c>
      <c r="J545" s="718">
        <f>L_CViec!AJ430</f>
        <v>360525</v>
      </c>
      <c r="K545" s="512">
        <f>G545*$J545</f>
        <v>72105</v>
      </c>
      <c r="L545" s="512">
        <f>H545*$J545</f>
        <v>72105</v>
      </c>
      <c r="M545" s="512">
        <f>I545*$J545</f>
        <v>93736.5</v>
      </c>
      <c r="N545" s="718">
        <f>$D545*G545*L_CBac!$J$68</f>
        <v>1946.1538461538462</v>
      </c>
      <c r="O545" s="718">
        <f>$D545*H545*L_CBac!$J$68</f>
        <v>1946.1538461538462</v>
      </c>
      <c r="P545" s="718">
        <f>$D545*I545*L_CBac!$J$68</f>
        <v>2530</v>
      </c>
    </row>
    <row r="546" spans="1:16" s="50" customFormat="1">
      <c r="A546" s="226" t="str">
        <f>L_CViec!A431</f>
        <v>1.2</v>
      </c>
      <c r="B546" s="227" t="str">
        <f>L_CViec!B431</f>
        <v>Theo hình thức trực tuyến</v>
      </c>
      <c r="C546" s="226" t="str">
        <f>L_CViec!AD431</f>
        <v>Hồ sơ</v>
      </c>
      <c r="D546" s="226">
        <f>L_CViec!AC431</f>
        <v>1</v>
      </c>
      <c r="E546" s="226" t="str">
        <f>L_CViec!AE431</f>
        <v>1KS3</v>
      </c>
      <c r="F546" s="226" t="str">
        <f>L_CViec!AF431</f>
        <v>1-3</v>
      </c>
      <c r="G546" s="226">
        <f>L_CViec!AG431</f>
        <v>0.15</v>
      </c>
      <c r="H546" s="283">
        <f>L_CViec!AH431</f>
        <v>0.15</v>
      </c>
      <c r="I546" s="283">
        <f>L_CViec!AI431</f>
        <v>0.19500000000000001</v>
      </c>
      <c r="J546" s="718">
        <f>L_CViec!AJ431</f>
        <v>360525</v>
      </c>
      <c r="K546" s="512">
        <f t="shared" ref="K546:K557" si="156">G546*$J546</f>
        <v>54078.75</v>
      </c>
      <c r="L546" s="512">
        <f t="shared" ref="L546:L557" si="157">H546*$J546</f>
        <v>54078.75</v>
      </c>
      <c r="M546" s="630">
        <f t="shared" ref="M546:M557" si="158">I546*$J546</f>
        <v>70302.375</v>
      </c>
      <c r="N546" s="718">
        <f>$D546*G546*L_CBac!$J$68</f>
        <v>1459.6153846153845</v>
      </c>
      <c r="O546" s="718">
        <f>$D546*H546*L_CBac!$J$68</f>
        <v>1459.6153846153845</v>
      </c>
      <c r="P546" s="718">
        <f>$D546*I546*L_CBac!$J$68</f>
        <v>1897.5</v>
      </c>
    </row>
    <row r="547" spans="1:16" s="50" customFormat="1" ht="39">
      <c r="A547" s="226" t="str">
        <f>L_CViec!A432</f>
        <v>2</v>
      </c>
      <c r="B547" s="227" t="str">
        <f>L_CViec!B432</f>
        <v>Nhận, kiểm tra tính đầy đủ của thành phần hồ sơ và cấp Giấy tiếp nhận hồ sơ và hẹn trả kết quả hoặc trả lại hồ sơ, vào sổ theo dõi nhận, trả hồ sơ (theo hình thức trực tiếp, trực tuyến)</v>
      </c>
      <c r="C547" s="226" t="str">
        <f>L_CViec!AD432</f>
        <v>Hồ sơ</v>
      </c>
      <c r="D547" s="226">
        <f>L_CViec!AC432</f>
        <v>1</v>
      </c>
      <c r="E547" s="226" t="str">
        <f>L_CViec!AE432</f>
        <v>1KS3</v>
      </c>
      <c r="F547" s="226" t="str">
        <f>L_CViec!AF432</f>
        <v>1-3</v>
      </c>
      <c r="G547" s="226">
        <f>L_CViec!AG432</f>
        <v>0.3</v>
      </c>
      <c r="H547" s="283">
        <f>L_CViec!AH432</f>
        <v>0.3</v>
      </c>
      <c r="I547" s="283">
        <f>L_CViec!AI432</f>
        <v>0.39</v>
      </c>
      <c r="J547" s="718">
        <f>L_CViec!AJ432</f>
        <v>360525</v>
      </c>
      <c r="K547" s="512">
        <f t="shared" si="156"/>
        <v>108157.5</v>
      </c>
      <c r="L547" s="512">
        <f t="shared" si="157"/>
        <v>108157.5</v>
      </c>
      <c r="M547" s="630">
        <f t="shared" si="158"/>
        <v>140604.75</v>
      </c>
      <c r="N547" s="718">
        <f>$D547*G547*L_CBac!$J$68</f>
        <v>2919.2307692307691</v>
      </c>
      <c r="O547" s="718">
        <f>$D547*H547*L_CBac!$J$68</f>
        <v>2919.2307692307691</v>
      </c>
      <c r="P547" s="718">
        <f>$D547*I547*L_CBac!$J$68</f>
        <v>3795</v>
      </c>
    </row>
    <row r="548" spans="1:16" s="50" customFormat="1" ht="26">
      <c r="A548" s="226" t="str">
        <f>L_CViec!A433</f>
        <v>3</v>
      </c>
      <c r="B548" s="227" t="str">
        <f>L_CViec!B433</f>
        <v>Tạo tệp (File) dữ liệu hồ sơ số và nhập thông tin do người sử dụng đất, quản lý đất kê khai, đăng ký</v>
      </c>
      <c r="C548" s="226" t="str">
        <f>L_CViec!AD433</f>
        <v>Thửa</v>
      </c>
      <c r="D548" s="226">
        <f>L_CViec!AC433</f>
        <v>1</v>
      </c>
      <c r="E548" s="226" t="str">
        <f>L_CViec!AE433</f>
        <v>1KS3</v>
      </c>
      <c r="F548" s="226" t="str">
        <f>L_CViec!AF433</f>
        <v>1-3</v>
      </c>
      <c r="G548" s="226">
        <f>L_CViec!AG433</f>
        <v>0.107</v>
      </c>
      <c r="H548" s="283">
        <f>L_CViec!AH433</f>
        <v>3.3000000000000002E-2</v>
      </c>
      <c r="I548" s="283">
        <f>L_CViec!AI433</f>
        <v>0.16700000000000001</v>
      </c>
      <c r="J548" s="718">
        <f>L_CViec!AJ433</f>
        <v>360525</v>
      </c>
      <c r="K548" s="512">
        <f t="shared" si="156"/>
        <v>38576.174999999996</v>
      </c>
      <c r="L548" s="512">
        <f t="shared" si="157"/>
        <v>11897.325000000001</v>
      </c>
      <c r="M548" s="630">
        <f t="shared" si="158"/>
        <v>60207.675000000003</v>
      </c>
      <c r="N548" s="718">
        <f>$D548*G548*L_CBac!$J$68</f>
        <v>1041.1923076923076</v>
      </c>
      <c r="O548" s="718">
        <f>$D548*H548*L_CBac!$J$68</f>
        <v>321.11538461538464</v>
      </c>
      <c r="P548" s="718">
        <f>$D548*I548*L_CBac!$J$68</f>
        <v>1625.0384615384617</v>
      </c>
    </row>
    <row r="549" spans="1:16" s="183" customFormat="1" ht="26">
      <c r="A549" s="226" t="str">
        <f>L_CViec!A434</f>
        <v>4</v>
      </c>
      <c r="B549" s="227" t="str">
        <f>L_CViec!B434</f>
        <v>Quét giấy tờ pháp lý về quyền sử dụng đất, quyền sở hữu nhà ở và tài sản khác gắn liền với đất</v>
      </c>
      <c r="C549" s="226">
        <f>L_CViec!AD434</f>
        <v>0</v>
      </c>
      <c r="D549" s="226">
        <f>L_CViec!AC434</f>
        <v>0</v>
      </c>
      <c r="E549" s="226">
        <f>L_CViec!AE434</f>
        <v>0</v>
      </c>
      <c r="F549" s="226">
        <f>L_CViec!AF434</f>
        <v>0</v>
      </c>
      <c r="G549" s="226">
        <f>L_CViec!AG434</f>
        <v>0</v>
      </c>
      <c r="H549" s="283">
        <f>L_CViec!AH434</f>
        <v>0</v>
      </c>
      <c r="I549" s="283">
        <f>L_CViec!AI434</f>
        <v>0</v>
      </c>
      <c r="J549" s="718">
        <f>L_CViec!AJ434</f>
        <v>0</v>
      </c>
      <c r="K549" s="512">
        <f t="shared" si="156"/>
        <v>0</v>
      </c>
      <c r="L549" s="512">
        <f t="shared" si="157"/>
        <v>0</v>
      </c>
      <c r="M549" s="512">
        <f t="shared" si="158"/>
        <v>0</v>
      </c>
      <c r="N549" s="718">
        <f>$D549*G549*L_CBac!$J$68</f>
        <v>0</v>
      </c>
      <c r="O549" s="718">
        <f>$D549*H549*L_CBac!$J$68</f>
        <v>0</v>
      </c>
      <c r="P549" s="718">
        <f>$D549*I549*L_CBac!$J$68</f>
        <v>0</v>
      </c>
    </row>
    <row r="550" spans="1:16" s="183" customFormat="1">
      <c r="A550" s="226" t="str">
        <f>L_CViec!A435</f>
        <v>4.1</v>
      </c>
      <c r="B550" s="227" t="str">
        <f>L_CViec!B435</f>
        <v>Quét trang A3</v>
      </c>
      <c r="C550" s="226" t="str">
        <f>L_CViec!AD435</f>
        <v>Trang</v>
      </c>
      <c r="D550" s="226">
        <f>L_CViec!AC435</f>
        <v>1</v>
      </c>
      <c r="E550" s="226" t="str">
        <f>L_CViec!AE435</f>
        <v>1KS1</v>
      </c>
      <c r="F550" s="226" t="str">
        <f>L_CViec!AF435</f>
        <v>1-3</v>
      </c>
      <c r="G550" s="226">
        <f>L_CViec!AG435</f>
        <v>1.6E-2</v>
      </c>
      <c r="H550" s="283">
        <f>L_CViec!AH435</f>
        <v>0.02</v>
      </c>
      <c r="I550" s="283">
        <f>L_CViec!AI435</f>
        <v>2.4E-2</v>
      </c>
      <c r="J550" s="718">
        <f>L_CViec!AJ435</f>
        <v>281209.5</v>
      </c>
      <c r="K550" s="512">
        <f t="shared" si="156"/>
        <v>4499.3519999999999</v>
      </c>
      <c r="L550" s="512">
        <f t="shared" si="157"/>
        <v>5624.1900000000005</v>
      </c>
      <c r="M550" s="512">
        <f t="shared" si="158"/>
        <v>6749.0280000000002</v>
      </c>
      <c r="N550" s="718">
        <f>$D550*G550*L_CBac!$J$68</f>
        <v>155.69230769230768</v>
      </c>
      <c r="O550" s="718">
        <f>$D550*H550*L_CBac!$J$68</f>
        <v>194.61538461538461</v>
      </c>
      <c r="P550" s="718">
        <f>$D550*I550*L_CBac!$J$68</f>
        <v>233.53846153846155</v>
      </c>
    </row>
    <row r="551" spans="1:16" s="183" customFormat="1">
      <c r="A551" s="226" t="str">
        <f>L_CViec!A436</f>
        <v>4.2</v>
      </c>
      <c r="B551" s="227" t="str">
        <f>L_CViec!B436</f>
        <v>Quét trang A4</v>
      </c>
      <c r="C551" s="226" t="str">
        <f>L_CViec!AD436</f>
        <v>Trang</v>
      </c>
      <c r="D551" s="226">
        <f>L_CViec!AC436</f>
        <v>1</v>
      </c>
      <c r="E551" s="226" t="str">
        <f>L_CViec!AE436</f>
        <v>1KS1</v>
      </c>
      <c r="F551" s="226" t="str">
        <f>L_CViec!AF436</f>
        <v>1-3</v>
      </c>
      <c r="G551" s="226">
        <f>L_CViec!AG436</f>
        <v>8.0000000000000002E-3</v>
      </c>
      <c r="H551" s="283">
        <f>L_CViec!AH436</f>
        <v>0.01</v>
      </c>
      <c r="I551" s="283">
        <f>L_CViec!AI436</f>
        <v>1.2E-2</v>
      </c>
      <c r="J551" s="718">
        <f>L_CViec!AJ436</f>
        <v>281209.5</v>
      </c>
      <c r="K551" s="512">
        <f t="shared" si="156"/>
        <v>2249.6759999999999</v>
      </c>
      <c r="L551" s="512">
        <f t="shared" si="157"/>
        <v>2812.0950000000003</v>
      </c>
      <c r="M551" s="512">
        <f t="shared" si="158"/>
        <v>3374.5140000000001</v>
      </c>
      <c r="N551" s="718">
        <f>$D551*G551*L_CBac!$J$68</f>
        <v>77.84615384615384</v>
      </c>
      <c r="O551" s="718">
        <f>$D551*H551*L_CBac!$J$68</f>
        <v>97.307692307692307</v>
      </c>
      <c r="P551" s="718">
        <f>$D551*I551*L_CBac!$J$68</f>
        <v>116.76923076923077</v>
      </c>
    </row>
    <row r="552" spans="1:16" s="50" customFormat="1" ht="26">
      <c r="A552" s="226" t="str">
        <f>L_CViec!A437</f>
        <v>5</v>
      </c>
      <c r="B552" s="227" t="str">
        <f>L_CViec!B437</f>
        <v>Xử lý các tệp tin quét thành tệp (File) hồ sơ quét dạng số của thửa đất, lưu trữ dưới khuôn dạng tệp tin PDF</v>
      </c>
      <c r="C552" s="226" t="str">
        <f>L_CViec!AD437</f>
        <v>Trang</v>
      </c>
      <c r="D552" s="226">
        <f>L_CViec!AC437</f>
        <v>1</v>
      </c>
      <c r="E552" s="226" t="str">
        <f>L_CViec!AE437</f>
        <v>1KS1</v>
      </c>
      <c r="F552" s="226" t="str">
        <f>L_CViec!AF437</f>
        <v>1-3</v>
      </c>
      <c r="G552" s="226">
        <f>L_CViec!AG437</f>
        <v>4.0000000000000001E-3</v>
      </c>
      <c r="H552" s="283">
        <f>L_CViec!AH437</f>
        <v>5.0000000000000001E-3</v>
      </c>
      <c r="I552" s="283">
        <f>L_CViec!AI437</f>
        <v>6.0000000000000001E-3</v>
      </c>
      <c r="J552" s="718">
        <f>L_CViec!AJ437</f>
        <v>281209.5</v>
      </c>
      <c r="K552" s="512">
        <f t="shared" si="156"/>
        <v>1124.838</v>
      </c>
      <c r="L552" s="512">
        <f t="shared" si="157"/>
        <v>1406.0475000000001</v>
      </c>
      <c r="M552" s="512">
        <f t="shared" si="158"/>
        <v>1687.2570000000001</v>
      </c>
      <c r="N552" s="718">
        <f>$D552*G552*L_CBac!$J$68</f>
        <v>38.92307692307692</v>
      </c>
      <c r="O552" s="718">
        <f>$D552*H552*L_CBac!$J$68</f>
        <v>48.653846153846153</v>
      </c>
      <c r="P552" s="718">
        <f>$D552*I552*L_CBac!$J$68</f>
        <v>58.384615384615387</v>
      </c>
    </row>
    <row r="553" spans="1:16" s="183" customFormat="1">
      <c r="A553" s="226">
        <f>L_CViec!A438</f>
        <v>6</v>
      </c>
      <c r="B553" s="227" t="str">
        <f>L_CViec!B438</f>
        <v>Chuyển hồ sơ đến Văn phòng đăng ký đất đai</v>
      </c>
      <c r="C553" s="226">
        <f>L_CViec!AD438</f>
        <v>0</v>
      </c>
      <c r="D553" s="226">
        <f>L_CViec!AC438</f>
        <v>0</v>
      </c>
      <c r="E553" s="226">
        <f>L_CViec!AE438</f>
        <v>0</v>
      </c>
      <c r="F553" s="226">
        <f>L_CViec!AF438</f>
        <v>0</v>
      </c>
      <c r="G553" s="226">
        <f>L_CViec!AG438</f>
        <v>0</v>
      </c>
      <c r="H553" s="283">
        <f>L_CViec!AH438</f>
        <v>0</v>
      </c>
      <c r="I553" s="283">
        <f>L_CViec!AI438</f>
        <v>0</v>
      </c>
      <c r="J553" s="718">
        <f>L_CViec!AJ438</f>
        <v>0</v>
      </c>
      <c r="K553" s="512">
        <f t="shared" si="156"/>
        <v>0</v>
      </c>
      <c r="L553" s="512">
        <f t="shared" si="157"/>
        <v>0</v>
      </c>
      <c r="M553" s="512">
        <f t="shared" si="158"/>
        <v>0</v>
      </c>
      <c r="N553" s="718">
        <f>$D553*G553*L_CBac!$J$68</f>
        <v>0</v>
      </c>
      <c r="O553" s="718">
        <f>$D553*H553*L_CBac!$J$68</f>
        <v>0</v>
      </c>
      <c r="P553" s="718">
        <f>$D553*I553*L_CBac!$J$68</f>
        <v>0</v>
      </c>
    </row>
    <row r="554" spans="1:16" s="183" customFormat="1">
      <c r="A554" s="226">
        <f>L_CViec!A439</f>
        <v>6.1</v>
      </c>
      <c r="B554" s="227" t="str">
        <f>L_CViec!B439</f>
        <v>Theo hình thức trực tiếp</v>
      </c>
      <c r="C554" s="226" t="str">
        <f>L_CViec!AD439</f>
        <v>Hồ sơ</v>
      </c>
      <c r="D554" s="226">
        <f>L_CViec!AC439</f>
        <v>1</v>
      </c>
      <c r="E554" s="226" t="str">
        <f>L_CViec!AE439</f>
        <v>1KS2</v>
      </c>
      <c r="F554" s="226" t="str">
        <f>L_CViec!AF439</f>
        <v>1-3</v>
      </c>
      <c r="G554" s="226">
        <f>L_CViec!AG439</f>
        <v>5.0000000000000001E-3</v>
      </c>
      <c r="H554" s="283">
        <f>L_CViec!AH439</f>
        <v>5.0000000000000001E-3</v>
      </c>
      <c r="I554" s="283">
        <f>L_CViec!AI439</f>
        <v>5.0000000000000001E-3</v>
      </c>
      <c r="J554" s="718">
        <f>L_CViec!AJ439</f>
        <v>320867.25</v>
      </c>
      <c r="K554" s="512">
        <f t="shared" si="156"/>
        <v>1604.3362500000001</v>
      </c>
      <c r="L554" s="512">
        <f t="shared" si="157"/>
        <v>1604.3362500000001</v>
      </c>
      <c r="M554" s="512">
        <f t="shared" si="158"/>
        <v>1604.3362500000001</v>
      </c>
      <c r="N554" s="718">
        <f>$D554*G554*L_CBac!$J$68</f>
        <v>48.653846153846153</v>
      </c>
      <c r="O554" s="718">
        <f>$D554*H554*L_CBac!$J$68</f>
        <v>48.653846153846153</v>
      </c>
      <c r="P554" s="718">
        <f>$D554*I554*L_CBac!$J$68</f>
        <v>48.653846153846153</v>
      </c>
    </row>
    <row r="555" spans="1:16" s="183" customFormat="1">
      <c r="A555" s="226">
        <f>L_CViec!A440</f>
        <v>6.2</v>
      </c>
      <c r="B555" s="227" t="str">
        <f>L_CViec!B440</f>
        <v>Theo hình thức trực tuyến</v>
      </c>
      <c r="C555" s="226" t="str">
        <f>L_CViec!AD440</f>
        <v>Hồ sơ</v>
      </c>
      <c r="D555" s="226">
        <f>L_CViec!AC440</f>
        <v>1</v>
      </c>
      <c r="E555" s="226" t="str">
        <f>L_CViec!AE440</f>
        <v>1KS2</v>
      </c>
      <c r="F555" s="226" t="str">
        <f>L_CViec!AF440</f>
        <v>1-3</v>
      </c>
      <c r="G555" s="226">
        <f>L_CViec!AG440</f>
        <v>4.0000000000000001E-3</v>
      </c>
      <c r="H555" s="283">
        <f>L_CViec!AH440</f>
        <v>4.0000000000000001E-3</v>
      </c>
      <c r="I555" s="283">
        <f>L_CViec!AI440</f>
        <v>4.0000000000000001E-3</v>
      </c>
      <c r="J555" s="718">
        <f>L_CViec!AJ440</f>
        <v>320867.25</v>
      </c>
      <c r="K555" s="512">
        <f t="shared" si="156"/>
        <v>1283.4690000000001</v>
      </c>
      <c r="L555" s="512">
        <f t="shared" si="157"/>
        <v>1283.4690000000001</v>
      </c>
      <c r="M555" s="630">
        <f t="shared" si="158"/>
        <v>1283.4690000000001</v>
      </c>
      <c r="N555" s="718">
        <f>$D555*G555*L_CBac!$J$68</f>
        <v>38.92307692307692</v>
      </c>
      <c r="O555" s="718">
        <f>$D555*H555*L_CBac!$J$68</f>
        <v>38.92307692307692</v>
      </c>
      <c r="P555" s="718">
        <f>$D555*I555*L_CBac!$J$68</f>
        <v>38.92307692307692</v>
      </c>
    </row>
    <row r="556" spans="1:16" s="183" customFormat="1" ht="91">
      <c r="A556" s="226" t="str">
        <f>L_CViec!A441</f>
        <v>7</v>
      </c>
      <c r="B556" s="227" t="str">
        <f>L_CViec!B441</f>
        <v>Kiểm tra các điều kiện thực hiện quyền theo quy định của Luật Đất đai đối với trường hợp thực hiện quyền của người sử dụng đất, của chủ sở hữu tài sản gắn liền với đất. Trường hợp không đủ điều kiện thực hiện quyền theo quy định của Luật Đất đai hoặc nhận được một trong các văn bản của cơ quan có thẩm quyền về việc dừng giải quyết thủ tục thì thông báo lý do và trả hồ sơ.</v>
      </c>
      <c r="C556" s="226" t="str">
        <f>L_CViec!AD441</f>
        <v>Hồ sơ</v>
      </c>
      <c r="D556" s="226">
        <f>L_CViec!AC441</f>
        <v>2</v>
      </c>
      <c r="E556" s="226" t="str">
        <f>L_CViec!AE441</f>
        <v>1KS3, 1KS2</v>
      </c>
      <c r="F556" s="226" t="str">
        <f>L_CViec!AF441</f>
        <v>1-3</v>
      </c>
      <c r="G556" s="226">
        <f>L_CViec!AG441</f>
        <v>2</v>
      </c>
      <c r="H556" s="283">
        <f>L_CViec!AH441</f>
        <v>2</v>
      </c>
      <c r="I556" s="283">
        <f>L_CViec!AI441</f>
        <v>2.6</v>
      </c>
      <c r="J556" s="718">
        <f>L_CViec!AJ441</f>
        <v>681392.25</v>
      </c>
      <c r="K556" s="512">
        <f t="shared" si="156"/>
        <v>1362784.5</v>
      </c>
      <c r="L556" s="512">
        <f t="shared" si="157"/>
        <v>1362784.5</v>
      </c>
      <c r="M556" s="630">
        <f t="shared" si="158"/>
        <v>1771619.85</v>
      </c>
      <c r="N556" s="718">
        <f>$D556*G556*L_CBac!$J$68</f>
        <v>38923.076923076922</v>
      </c>
      <c r="O556" s="718">
        <f>$D556*H556*L_CBac!$J$68</f>
        <v>38923.076923076922</v>
      </c>
      <c r="P556" s="718">
        <f>$D556*I556*L_CBac!$J$68</f>
        <v>50600</v>
      </c>
    </row>
    <row r="557" spans="1:16" s="50" customFormat="1" ht="52">
      <c r="A557" s="226">
        <f>L_CViec!A442</f>
        <v>8</v>
      </c>
      <c r="B557" s="227" t="str">
        <f>L_CViec!B442</f>
        <v>Thông báo bằng văn bản cho bên chuyển quyền hoặc thực hiện đăng tin 03 lần trên phương tiện thông tin đại chúng ở địa phương đối với trường hợp cấp Giấy chứng nhận diện tích tăng thêm</v>
      </c>
      <c r="C557" s="226" t="str">
        <f>L_CViec!AD442</f>
        <v>Hồ sơ</v>
      </c>
      <c r="D557" s="226">
        <f>L_CViec!AC442</f>
        <v>1</v>
      </c>
      <c r="E557" s="226" t="str">
        <f>L_CViec!AE442</f>
        <v>1KS3</v>
      </c>
      <c r="F557" s="226" t="str">
        <f>L_CViec!AF442</f>
        <v>1-3</v>
      </c>
      <c r="G557" s="226">
        <f>L_CViec!AG442</f>
        <v>0.2</v>
      </c>
      <c r="H557" s="283">
        <f>L_CViec!AH442</f>
        <v>0.2</v>
      </c>
      <c r="I557" s="283">
        <f>L_CViec!AI442</f>
        <v>0.26</v>
      </c>
      <c r="J557" s="718">
        <f>L_CViec!AJ442</f>
        <v>360525</v>
      </c>
      <c r="K557" s="512">
        <f t="shared" si="156"/>
        <v>72105</v>
      </c>
      <c r="L557" s="512">
        <f t="shared" si="157"/>
        <v>72105</v>
      </c>
      <c r="M557" s="630">
        <f t="shared" si="158"/>
        <v>93736.5</v>
      </c>
      <c r="N557" s="718">
        <f>$D557*G557*L_CBac!$J$68</f>
        <v>1946.1538461538462</v>
      </c>
      <c r="O557" s="718">
        <f>$D557*H557*L_CBac!$J$68</f>
        <v>1946.1538461538462</v>
      </c>
      <c r="P557" s="718">
        <f>$D557*I557*L_CBac!$J$68</f>
        <v>2530</v>
      </c>
    </row>
    <row r="558" spans="1:16" s="50" customFormat="1" ht="26">
      <c r="A558" s="226">
        <f>L_CViec!A443</f>
        <v>9</v>
      </c>
      <c r="B558" s="227" t="str">
        <f>L_CViec!B443</f>
        <v>Hướng dẫn các bên nộp đơn đến cơ quan nhà nước có thẩm quyền giải quyết tranh chấp theo quy định</v>
      </c>
      <c r="C558" s="226" t="str">
        <f>L_CViec!AD443</f>
        <v>Hồ sơ</v>
      </c>
      <c r="D558" s="226">
        <f>L_CViec!AC443</f>
        <v>1</v>
      </c>
      <c r="E558" s="226" t="str">
        <f>L_CViec!AE443</f>
        <v>1KS3</v>
      </c>
      <c r="F558" s="226" t="str">
        <f>L_CViec!AF443</f>
        <v>1-3</v>
      </c>
      <c r="G558" s="226">
        <f>L_CViec!AG443</f>
        <v>0.2</v>
      </c>
      <c r="H558" s="283">
        <f>L_CViec!AH443</f>
        <v>0.2</v>
      </c>
      <c r="I558" s="283">
        <f>L_CViec!AI443</f>
        <v>0.26</v>
      </c>
      <c r="J558" s="718">
        <f>L_CViec!AJ443</f>
        <v>360525</v>
      </c>
      <c r="K558" s="512">
        <f t="shared" ref="K558:K584" si="159">G558*$J558</f>
        <v>72105</v>
      </c>
      <c r="L558" s="512">
        <f t="shared" ref="L558:L584" si="160">H558*$J558</f>
        <v>72105</v>
      </c>
      <c r="M558" s="630">
        <f t="shared" ref="M558:M584" si="161">I558*$J558</f>
        <v>93736.5</v>
      </c>
      <c r="N558" s="718">
        <f>$D558*G558*L_CBac!$J$68</f>
        <v>1946.1538461538462</v>
      </c>
      <c r="O558" s="718">
        <f>$D558*H558*L_CBac!$J$68</f>
        <v>1946.1538461538462</v>
      </c>
      <c r="P558" s="718">
        <f>$D558*I558*L_CBac!$J$68</f>
        <v>2530</v>
      </c>
    </row>
    <row r="559" spans="1:16" s="50" customFormat="1" ht="65">
      <c r="A559" s="226">
        <f>L_CViec!A444</f>
        <v>10</v>
      </c>
      <c r="B559" s="227" t="str">
        <f>L_CViec!B444</f>
        <v>Kiểm tra hồ sơ cấp Giấy chứng nhận trước đây, trình cơ quan có thẩm quyền ký, ban hành quyết định cho phép chuyển mục đích sử dụng đất hoặc lập biên bản kết luận về nội dung và nguyên nhân sai sót hoặc trình, quyết định thu hồi Giấy chứng nhận</v>
      </c>
      <c r="C559" s="226" t="str">
        <f>L_CViec!AD444</f>
        <v>Hồ sơ</v>
      </c>
      <c r="D559" s="226">
        <f>L_CViec!AC444</f>
        <v>1</v>
      </c>
      <c r="E559" s="226" t="str">
        <f>L_CViec!AE444</f>
        <v>1KS3</v>
      </c>
      <c r="F559" s="226" t="str">
        <f>L_CViec!AF444</f>
        <v>1-3</v>
      </c>
      <c r="G559" s="226">
        <f>L_CViec!AG444</f>
        <v>1</v>
      </c>
      <c r="H559" s="283">
        <f>L_CViec!AH444</f>
        <v>1</v>
      </c>
      <c r="I559" s="283">
        <f>L_CViec!AI444</f>
        <v>1.2</v>
      </c>
      <c r="J559" s="718">
        <f>L_CViec!AJ444</f>
        <v>360525</v>
      </c>
      <c r="K559" s="512">
        <f t="shared" si="159"/>
        <v>360525</v>
      </c>
      <c r="L559" s="512">
        <f t="shared" si="160"/>
        <v>360525</v>
      </c>
      <c r="M559" s="630">
        <f t="shared" si="161"/>
        <v>432630</v>
      </c>
      <c r="N559" s="718">
        <f>$D559*G559*L_CBac!$J$68</f>
        <v>9730.7692307692305</v>
      </c>
      <c r="O559" s="718">
        <f>$D559*H559*L_CBac!$J$68</f>
        <v>9730.7692307692305</v>
      </c>
      <c r="P559" s="718">
        <f>$D559*I559*L_CBac!$J$68</f>
        <v>11676.923076923076</v>
      </c>
    </row>
    <row r="560" spans="1:16" s="50" customFormat="1" ht="39">
      <c r="A560" s="226">
        <f>L_CViec!A445</f>
        <v>11</v>
      </c>
      <c r="B560" s="227" t="str">
        <f>L_CViec!B445</f>
        <v>Thông báo bằng văn bản cho cơ quan thuế về việc chấm dứt quyền và nghĩa vụ của bên chuyển quyền sử dụng đất, quyền sở hữu tài sản gắn liền với đất trong hợp đồng thuê đất</v>
      </c>
      <c r="C560" s="226" t="str">
        <f>L_CViec!AD445</f>
        <v>Hồ sơ</v>
      </c>
      <c r="D560" s="226">
        <f>L_CViec!AC445</f>
        <v>1</v>
      </c>
      <c r="E560" s="226" t="str">
        <f>L_CViec!AE445</f>
        <v>1KS3</v>
      </c>
      <c r="F560" s="226" t="str">
        <f>L_CViec!AF445</f>
        <v>1-3</v>
      </c>
      <c r="G560" s="226">
        <f>L_CViec!AG445</f>
        <v>1</v>
      </c>
      <c r="H560" s="283">
        <f>L_CViec!AH445</f>
        <v>1</v>
      </c>
      <c r="I560" s="283">
        <f>L_CViec!AI445</f>
        <v>1.2</v>
      </c>
      <c r="J560" s="718">
        <f>L_CViec!AJ445</f>
        <v>360525</v>
      </c>
      <c r="K560" s="512">
        <f t="shared" si="159"/>
        <v>360525</v>
      </c>
      <c r="L560" s="512">
        <f t="shared" si="160"/>
        <v>360525</v>
      </c>
      <c r="M560" s="630">
        <f t="shared" si="161"/>
        <v>432630</v>
      </c>
      <c r="N560" s="718">
        <f>$D560*G560*L_CBac!$J$68</f>
        <v>9730.7692307692305</v>
      </c>
      <c r="O560" s="718">
        <f>$D560*H560*L_CBac!$J$68</f>
        <v>9730.7692307692305</v>
      </c>
      <c r="P560" s="718">
        <f>$D560*I560*L_CBac!$J$68</f>
        <v>11676.923076923076</v>
      </c>
    </row>
    <row r="561" spans="1:16" s="183" customFormat="1" ht="26">
      <c r="A561" s="226" t="str">
        <f>L_CViec!A446</f>
        <v>12</v>
      </c>
      <c r="B561" s="227" t="str">
        <f>L_CViec!B446</f>
        <v>Nhập ý kiến xác nhận của cấp tỉnh vào tệp (File) dữ liệu hồ sơ số</v>
      </c>
      <c r="C561" s="226" t="str">
        <f>L_CViec!AD446</f>
        <v>Thửa</v>
      </c>
      <c r="D561" s="226">
        <f>L_CViec!AC446</f>
        <v>1</v>
      </c>
      <c r="E561" s="226" t="str">
        <f>L_CViec!AE446</f>
        <v>1KS3</v>
      </c>
      <c r="F561" s="226" t="str">
        <f>L_CViec!AF446</f>
        <v>1-3</v>
      </c>
      <c r="G561" s="226">
        <f>L_CViec!AG446</f>
        <v>3.0000000000000001E-3</v>
      </c>
      <c r="H561" s="283">
        <f>L_CViec!AH446</f>
        <v>3.0000000000000001E-3</v>
      </c>
      <c r="I561" s="283">
        <f>L_CViec!AI446</f>
        <v>3.0000000000000001E-3</v>
      </c>
      <c r="J561" s="718">
        <f>L_CViec!AJ446</f>
        <v>360525</v>
      </c>
      <c r="K561" s="512">
        <f t="shared" si="159"/>
        <v>1081.575</v>
      </c>
      <c r="L561" s="512">
        <f t="shared" si="160"/>
        <v>1081.575</v>
      </c>
      <c r="M561" s="630">
        <f t="shared" si="161"/>
        <v>1081.575</v>
      </c>
      <c r="N561" s="718">
        <f>$D561*G561*L_CBac!$J$68</f>
        <v>29.192307692307693</v>
      </c>
      <c r="O561" s="718">
        <f>$D561*H561*L_CBac!$J$68</f>
        <v>29.192307692307693</v>
      </c>
      <c r="P561" s="718">
        <f>$D561*I561*L_CBac!$J$68</f>
        <v>29.192307692307693</v>
      </c>
    </row>
    <row r="562" spans="1:16" s="183" customFormat="1" ht="26">
      <c r="A562" s="226" t="str">
        <f>L_CViec!A447</f>
        <v>13</v>
      </c>
      <c r="B562" s="227" t="str">
        <f>L_CViec!B447</f>
        <v>Trích lục bản đồ địa chính hoặc trích đo bản đồ địa chính thửa đất đối với nơi chưa có bản đồ địa chính</v>
      </c>
      <c r="C562" s="226">
        <f>L_CViec!AD447</f>
        <v>0</v>
      </c>
      <c r="D562" s="226">
        <f>L_CViec!AC447</f>
        <v>0</v>
      </c>
      <c r="E562" s="226">
        <f>L_CViec!AE447</f>
        <v>0</v>
      </c>
      <c r="F562" s="226">
        <f>L_CViec!AF447</f>
        <v>0</v>
      </c>
      <c r="G562" s="226">
        <f>L_CViec!AG447</f>
        <v>0</v>
      </c>
      <c r="H562" s="283">
        <f>L_CViec!AH447</f>
        <v>0</v>
      </c>
      <c r="I562" s="283">
        <f>L_CViec!AI447</f>
        <v>0</v>
      </c>
      <c r="J562" s="718">
        <f>L_CViec!AJ447</f>
        <v>0</v>
      </c>
      <c r="K562" s="512">
        <f t="shared" si="159"/>
        <v>0</v>
      </c>
      <c r="L562" s="512">
        <f t="shared" si="160"/>
        <v>0</v>
      </c>
      <c r="M562" s="512">
        <f t="shared" si="161"/>
        <v>0</v>
      </c>
      <c r="N562" s="707">
        <f>$D562*G562*L_CBac!$J$68</f>
        <v>0</v>
      </c>
      <c r="O562" s="707">
        <f>$D562*H562*L_CBac!$J$68</f>
        <v>0</v>
      </c>
      <c r="P562" s="707">
        <f>$D562*I562*L_CBac!$J$68</f>
        <v>0</v>
      </c>
    </row>
    <row r="563" spans="1:16" s="183" customFormat="1">
      <c r="A563" s="226" t="str">
        <f>L_CViec!A448</f>
        <v>13.1</v>
      </c>
      <c r="B563" s="227" t="str">
        <f>L_CViec!B448</f>
        <v>Trích lục trên bản đồ dạng số</v>
      </c>
      <c r="C563" s="226" t="str">
        <f>L_CViec!AD448</f>
        <v>Hồ sơ</v>
      </c>
      <c r="D563" s="226">
        <f>L_CViec!AC448</f>
        <v>1</v>
      </c>
      <c r="E563" s="226" t="str">
        <f>L_CViec!AE448</f>
        <v>1KS2</v>
      </c>
      <c r="F563" s="226" t="str">
        <f>L_CViec!AF448</f>
        <v>1-3</v>
      </c>
      <c r="G563" s="226">
        <f>L_CViec!AG448</f>
        <v>0.05</v>
      </c>
      <c r="H563" s="283">
        <f>L_CViec!AH448</f>
        <v>0</v>
      </c>
      <c r="I563" s="283">
        <f>L_CViec!AI448</f>
        <v>0.05</v>
      </c>
      <c r="J563" s="718">
        <f>L_CViec!AJ448</f>
        <v>320867.25</v>
      </c>
      <c r="K563" s="512">
        <f t="shared" si="159"/>
        <v>16043.362500000001</v>
      </c>
      <c r="L563" s="512">
        <f t="shared" si="160"/>
        <v>0</v>
      </c>
      <c r="M563" s="630">
        <f t="shared" si="161"/>
        <v>16043.362500000001</v>
      </c>
      <c r="N563" s="718">
        <f>$D563*G563*L_CBac!$J$68</f>
        <v>486.53846153846155</v>
      </c>
      <c r="O563" s="718">
        <f>$D563*H563*L_CBac!$J$68</f>
        <v>0</v>
      </c>
      <c r="P563" s="718">
        <f>$D563*I563*L_CBac!$J$68</f>
        <v>486.53846153846155</v>
      </c>
    </row>
    <row r="564" spans="1:16" s="183" customFormat="1">
      <c r="A564" s="226" t="str">
        <f>L_CViec!A449</f>
        <v>13.2</v>
      </c>
      <c r="B564" s="227" t="str">
        <f>L_CViec!B449</f>
        <v>Trích lục trên bản đồ dạng giấy</v>
      </c>
      <c r="C564" s="226" t="str">
        <f>L_CViec!AD449</f>
        <v>Hồ sơ</v>
      </c>
      <c r="D564" s="226">
        <f>L_CViec!AC449</f>
        <v>1</v>
      </c>
      <c r="E564" s="226" t="str">
        <f>L_CViec!AE449</f>
        <v>1KS2</v>
      </c>
      <c r="F564" s="226" t="str">
        <f>L_CViec!AF449</f>
        <v>1-3</v>
      </c>
      <c r="G564" s="226">
        <f>L_CViec!AG449</f>
        <v>0.1</v>
      </c>
      <c r="H564" s="283">
        <f>L_CViec!AH449</f>
        <v>0</v>
      </c>
      <c r="I564" s="283">
        <f>L_CViec!AI449</f>
        <v>0.1</v>
      </c>
      <c r="J564" s="718">
        <f>L_CViec!AJ449</f>
        <v>320867.25</v>
      </c>
      <c r="K564" s="512">
        <f t="shared" si="159"/>
        <v>32086.725000000002</v>
      </c>
      <c r="L564" s="512">
        <f t="shared" si="160"/>
        <v>0</v>
      </c>
      <c r="M564" s="512">
        <f t="shared" si="161"/>
        <v>32086.725000000002</v>
      </c>
      <c r="N564" s="718">
        <f>$D564*G564*L_CBac!$J$68</f>
        <v>973.07692307692309</v>
      </c>
      <c r="O564" s="718">
        <f>$D564*H564*L_CBac!$J$68</f>
        <v>0</v>
      </c>
      <c r="P564" s="718">
        <f>$D564*I564*L_CBac!$J$68</f>
        <v>973.07692307692309</v>
      </c>
    </row>
    <row r="565" spans="1:16" s="183" customFormat="1" ht="26">
      <c r="A565" s="226">
        <f>L_CViec!A450</f>
        <v>14</v>
      </c>
      <c r="B565" s="227" t="str">
        <f>L_CViec!B450</f>
        <v>Lập và gửi Phiếu chuyển thông tin để xác định nghĩa vụ tài chính về đất đai (nếu có)</v>
      </c>
      <c r="C565" s="226">
        <f>L_CViec!AD450</f>
        <v>0</v>
      </c>
      <c r="D565" s="226">
        <f>L_CViec!AC450</f>
        <v>0</v>
      </c>
      <c r="E565" s="226">
        <f>L_CViec!AE450</f>
        <v>0</v>
      </c>
      <c r="F565" s="226">
        <f>L_CViec!AF450</f>
        <v>0</v>
      </c>
      <c r="G565" s="226">
        <f>L_CViec!AG450</f>
        <v>0</v>
      </c>
      <c r="H565" s="283">
        <f>L_CViec!AH450</f>
        <v>0</v>
      </c>
      <c r="I565" s="283">
        <f>L_CViec!AI450</f>
        <v>0</v>
      </c>
      <c r="J565" s="718">
        <f>L_CViec!AJ450</f>
        <v>0</v>
      </c>
      <c r="K565" s="512">
        <f t="shared" si="159"/>
        <v>0</v>
      </c>
      <c r="L565" s="512">
        <f t="shared" si="160"/>
        <v>0</v>
      </c>
      <c r="M565" s="512">
        <f t="shared" si="161"/>
        <v>0</v>
      </c>
      <c r="N565" s="718">
        <f>$D565*G565*L_CBac!$J$68</f>
        <v>0</v>
      </c>
      <c r="O565" s="718">
        <f>$D565*H565*L_CBac!$J$68</f>
        <v>0</v>
      </c>
      <c r="P565" s="718">
        <f>$D565*I565*L_CBac!$J$68</f>
        <v>0</v>
      </c>
    </row>
    <row r="566" spans="1:16" s="183" customFormat="1">
      <c r="A566" s="226">
        <f>L_CViec!A451</f>
        <v>14.1</v>
      </c>
      <c r="B566" s="227" t="str">
        <f>L_CViec!B451</f>
        <v>Chuyển thông tin theo hình thức liên thông</v>
      </c>
      <c r="C566" s="226" t="str">
        <f>L_CViec!AD451</f>
        <v>Hồ sơ</v>
      </c>
      <c r="D566" s="226">
        <f>L_CViec!AC451</f>
        <v>1</v>
      </c>
      <c r="E566" s="226" t="str">
        <f>L_CViec!AE451</f>
        <v>1KS3</v>
      </c>
      <c r="F566" s="226" t="str">
        <f>L_CViec!AF451</f>
        <v>1-3</v>
      </c>
      <c r="G566" s="226">
        <f>L_CViec!AG451</f>
        <v>0.03</v>
      </c>
      <c r="H566" s="283">
        <f>L_CViec!AH451</f>
        <v>0.03</v>
      </c>
      <c r="I566" s="283">
        <f>L_CViec!AI451</f>
        <v>0.03</v>
      </c>
      <c r="J566" s="718">
        <f>L_CViec!AJ451</f>
        <v>360525</v>
      </c>
      <c r="K566" s="512">
        <f t="shared" si="159"/>
        <v>10815.75</v>
      </c>
      <c r="L566" s="512">
        <f t="shared" si="160"/>
        <v>10815.75</v>
      </c>
      <c r="M566" s="630">
        <f t="shared" si="161"/>
        <v>10815.75</v>
      </c>
      <c r="N566" s="718">
        <f>$D566*G566*L_CBac!$J$68</f>
        <v>291.92307692307691</v>
      </c>
      <c r="O566" s="718">
        <f>$D566*H566*L_CBac!$J$68</f>
        <v>291.92307692307691</v>
      </c>
      <c r="P566" s="718">
        <f>$D566*I566*L_CBac!$J$68</f>
        <v>291.92307692307691</v>
      </c>
    </row>
    <row r="567" spans="1:16" s="50" customFormat="1">
      <c r="A567" s="226">
        <f>L_CViec!A452</f>
        <v>14.2</v>
      </c>
      <c r="B567" s="227" t="str">
        <f>L_CViec!B452</f>
        <v>Chuyển thông tin theo hình thức trực tiếp</v>
      </c>
      <c r="C567" s="226" t="str">
        <f>L_CViec!AD452</f>
        <v>Hồ sơ</v>
      </c>
      <c r="D567" s="226">
        <f>L_CViec!AC452</f>
        <v>1</v>
      </c>
      <c r="E567" s="226" t="str">
        <f>L_CViec!AE452</f>
        <v>1KS3</v>
      </c>
      <c r="F567" s="226" t="str">
        <f>L_CViec!AF452</f>
        <v>1-3</v>
      </c>
      <c r="G567" s="226">
        <f>L_CViec!AG452</f>
        <v>0.04</v>
      </c>
      <c r="H567" s="283">
        <f>L_CViec!AH452</f>
        <v>0.04</v>
      </c>
      <c r="I567" s="283">
        <f>L_CViec!AI452</f>
        <v>0.04</v>
      </c>
      <c r="J567" s="718">
        <f>L_CViec!AJ452</f>
        <v>360525</v>
      </c>
      <c r="K567" s="512">
        <f t="shared" si="159"/>
        <v>14421</v>
      </c>
      <c r="L567" s="512">
        <f t="shared" si="160"/>
        <v>14421</v>
      </c>
      <c r="M567" s="512">
        <f t="shared" si="161"/>
        <v>14421</v>
      </c>
      <c r="N567" s="718">
        <f>$D567*G567*L_CBac!$J$68</f>
        <v>389.23076923076923</v>
      </c>
      <c r="O567" s="718">
        <f>$D567*H567*L_CBac!$J$68</f>
        <v>389.23076923076923</v>
      </c>
      <c r="P567" s="718">
        <f>$D567*I567*L_CBac!$J$68</f>
        <v>389.23076923076923</v>
      </c>
    </row>
    <row r="568" spans="1:16" s="50" customFormat="1" ht="26">
      <c r="A568" s="226">
        <f>L_CViec!A453</f>
        <v>15</v>
      </c>
      <c r="B568" s="227" t="str">
        <f>L_CViec!B453</f>
        <v>Nhận thông báo của cơ quan thuế về việc hoàn thành nghĩa vụ tài chính</v>
      </c>
      <c r="C568" s="226">
        <f>L_CViec!AD453</f>
        <v>0</v>
      </c>
      <c r="D568" s="226">
        <f>L_CViec!AC453</f>
        <v>0</v>
      </c>
      <c r="E568" s="226">
        <f>L_CViec!AE453</f>
        <v>0</v>
      </c>
      <c r="F568" s="226">
        <f>L_CViec!AF453</f>
        <v>0</v>
      </c>
      <c r="G568" s="226">
        <f>L_CViec!AG453</f>
        <v>0</v>
      </c>
      <c r="H568" s="283">
        <f>L_CViec!AH453</f>
        <v>0</v>
      </c>
      <c r="I568" s="283">
        <f>L_CViec!AI453</f>
        <v>0</v>
      </c>
      <c r="J568" s="718">
        <f>L_CViec!AJ453</f>
        <v>0</v>
      </c>
      <c r="K568" s="512">
        <f t="shared" si="159"/>
        <v>0</v>
      </c>
      <c r="L568" s="512">
        <f t="shared" si="160"/>
        <v>0</v>
      </c>
      <c r="M568" s="512">
        <f t="shared" si="161"/>
        <v>0</v>
      </c>
      <c r="N568" s="707">
        <f>$D568*G568*L_CBac!$J$68</f>
        <v>0</v>
      </c>
      <c r="O568" s="707">
        <f>$D568*H568*L_CBac!$J$68</f>
        <v>0</v>
      </c>
      <c r="P568" s="707">
        <f>$D568*I568*L_CBac!$J$68</f>
        <v>0</v>
      </c>
    </row>
    <row r="569" spans="1:16" s="50" customFormat="1">
      <c r="A569" s="226">
        <f>L_CViec!A454</f>
        <v>15.1</v>
      </c>
      <c r="B569" s="227" t="str">
        <f>L_CViec!B454</f>
        <v>Chuyển thông tin theo hình thức liên thông</v>
      </c>
      <c r="C569" s="226" t="str">
        <f>L_CViec!AD454</f>
        <v>Hồ sơ</v>
      </c>
      <c r="D569" s="226">
        <f>L_CViec!AC454</f>
        <v>1</v>
      </c>
      <c r="E569" s="226" t="str">
        <f>L_CViec!AE454</f>
        <v>1KS2</v>
      </c>
      <c r="F569" s="226" t="str">
        <f>L_CViec!AF454</f>
        <v>1-3</v>
      </c>
      <c r="G569" s="226">
        <f>L_CViec!AG454</f>
        <v>0.04</v>
      </c>
      <c r="H569" s="283">
        <f>L_CViec!AH454</f>
        <v>0.04</v>
      </c>
      <c r="I569" s="283">
        <f>L_CViec!AI454</f>
        <v>0.04</v>
      </c>
      <c r="J569" s="718">
        <f>L_CViec!AJ454</f>
        <v>320867.25</v>
      </c>
      <c r="K569" s="512">
        <f t="shared" si="159"/>
        <v>12834.69</v>
      </c>
      <c r="L569" s="512">
        <f t="shared" si="160"/>
        <v>12834.69</v>
      </c>
      <c r="M569" s="630">
        <f t="shared" si="161"/>
        <v>12834.69</v>
      </c>
      <c r="N569" s="718">
        <f>$D569*G569*L_CBac!$J$68</f>
        <v>389.23076923076923</v>
      </c>
      <c r="O569" s="718">
        <f>$D569*H569*L_CBac!$J$68</f>
        <v>389.23076923076923</v>
      </c>
      <c r="P569" s="718">
        <f>$D569*I569*L_CBac!$J$68</f>
        <v>389.23076923076923</v>
      </c>
    </row>
    <row r="570" spans="1:16" s="50" customFormat="1">
      <c r="A570" s="226">
        <f>L_CViec!A455</f>
        <v>15.2</v>
      </c>
      <c r="B570" s="227" t="str">
        <f>L_CViec!B455</f>
        <v>Chuyển thông tin theo hình thức trực tiếp</v>
      </c>
      <c r="C570" s="226" t="str">
        <f>L_CViec!AD455</f>
        <v>Hồ sơ</v>
      </c>
      <c r="D570" s="226">
        <f>L_CViec!AC455</f>
        <v>1</v>
      </c>
      <c r="E570" s="226" t="str">
        <f>L_CViec!AE455</f>
        <v>1KS2</v>
      </c>
      <c r="F570" s="226" t="str">
        <f>L_CViec!AF455</f>
        <v>1-3</v>
      </c>
      <c r="G570" s="226">
        <f>L_CViec!AG455</f>
        <v>0.03</v>
      </c>
      <c r="H570" s="283">
        <f>L_CViec!AH455</f>
        <v>0.03</v>
      </c>
      <c r="I570" s="283">
        <f>L_CViec!AI455</f>
        <v>0.03</v>
      </c>
      <c r="J570" s="718">
        <f>L_CViec!AJ455</f>
        <v>320867.25</v>
      </c>
      <c r="K570" s="512">
        <f t="shared" si="159"/>
        <v>9626.0174999999999</v>
      </c>
      <c r="L570" s="512">
        <f t="shared" si="160"/>
        <v>9626.0174999999999</v>
      </c>
      <c r="M570" s="512">
        <f t="shared" si="161"/>
        <v>9626.0174999999999</v>
      </c>
      <c r="N570" s="718">
        <f>$D570*G570*L_CBac!$J$68</f>
        <v>291.92307692307691</v>
      </c>
      <c r="O570" s="718">
        <f>$D570*H570*L_CBac!$J$68</f>
        <v>291.92307692307691</v>
      </c>
      <c r="P570" s="718">
        <f>$D570*I570*L_CBac!$J$68</f>
        <v>291.92307692307691</v>
      </c>
    </row>
    <row r="571" spans="1:16" s="50" customFormat="1" ht="34.5" customHeight="1">
      <c r="A571" s="226" t="str">
        <f>L_CViec!A456</f>
        <v>16</v>
      </c>
      <c r="B571" s="227" t="str">
        <f>L_CViec!B456</f>
        <v>Nhập thông tin về nghĩa vụ tài chính, đăng ký vào hồ sơ địa chính</v>
      </c>
      <c r="C571" s="226" t="str">
        <f>L_CViec!AD456</f>
        <v>Thửa</v>
      </c>
      <c r="D571" s="226">
        <f>L_CViec!AC456</f>
        <v>1</v>
      </c>
      <c r="E571" s="226" t="str">
        <f>L_CViec!AE456</f>
        <v>1KS3</v>
      </c>
      <c r="F571" s="226" t="str">
        <f>L_CViec!AF456</f>
        <v>1-3</v>
      </c>
      <c r="G571" s="226">
        <f>L_CViec!AG456</f>
        <v>3.3000000000000002E-2</v>
      </c>
      <c r="H571" s="283">
        <f>L_CViec!AH456</f>
        <v>3.3000000000000002E-2</v>
      </c>
      <c r="I571" s="283">
        <f>L_CViec!AI456</f>
        <v>3.3000000000000002E-2</v>
      </c>
      <c r="J571" s="718">
        <f>L_CViec!AJ456</f>
        <v>360525</v>
      </c>
      <c r="K571" s="512">
        <f t="shared" si="159"/>
        <v>11897.325000000001</v>
      </c>
      <c r="L571" s="512">
        <f t="shared" si="160"/>
        <v>11897.325000000001</v>
      </c>
      <c r="M571" s="630">
        <f t="shared" si="161"/>
        <v>11897.325000000001</v>
      </c>
      <c r="N571" s="718">
        <f>$D571*G571*L_CBac!$J$68</f>
        <v>321.11538461538464</v>
      </c>
      <c r="O571" s="718">
        <f>$D571*H571*L_CBac!$J$68</f>
        <v>321.11538461538464</v>
      </c>
      <c r="P571" s="718">
        <f>$D571*I571*L_CBac!$J$68</f>
        <v>321.11538461538464</v>
      </c>
    </row>
    <row r="572" spans="1:16" s="183" customFormat="1" ht="21.75" customHeight="1">
      <c r="A572" s="226" t="str">
        <f>L_CViec!A457</f>
        <v>17</v>
      </c>
      <c r="B572" s="227" t="str">
        <f>L_CViec!B457</f>
        <v>In GCN</v>
      </c>
      <c r="C572" s="226">
        <f>L_CViec!AD457</f>
        <v>0</v>
      </c>
      <c r="D572" s="226">
        <f>L_CViec!AC457</f>
        <v>1</v>
      </c>
      <c r="E572" s="226">
        <f>L_CViec!AE457</f>
        <v>0</v>
      </c>
      <c r="F572" s="226">
        <f>L_CViec!AF457</f>
        <v>0</v>
      </c>
      <c r="G572" s="226">
        <f>L_CViec!AG457</f>
        <v>0</v>
      </c>
      <c r="H572" s="283">
        <f>L_CViec!AH457</f>
        <v>0</v>
      </c>
      <c r="I572" s="283">
        <f>L_CViec!AI457</f>
        <v>0</v>
      </c>
      <c r="J572" s="718">
        <f>L_CViec!AJ457</f>
        <v>320867.25</v>
      </c>
      <c r="K572" s="512">
        <f t="shared" si="159"/>
        <v>0</v>
      </c>
      <c r="L572" s="512">
        <f t="shared" si="160"/>
        <v>0</v>
      </c>
      <c r="M572" s="512">
        <f t="shared" si="161"/>
        <v>0</v>
      </c>
      <c r="N572" s="707">
        <f>$D572*G572*L_CBac!$J$68</f>
        <v>0</v>
      </c>
      <c r="O572" s="707">
        <f>$D572*H572*L_CBac!$J$68</f>
        <v>0</v>
      </c>
      <c r="P572" s="707">
        <f>$D572*I572*L_CBac!$J$68</f>
        <v>0</v>
      </c>
    </row>
    <row r="573" spans="1:16" s="50" customFormat="1" ht="21" customHeight="1">
      <c r="A573" s="226" t="str">
        <f>L_CViec!A458</f>
        <v>17.1</v>
      </c>
      <c r="B573" s="227" t="str">
        <f>L_CViec!B458</f>
        <v>Trực tiếp từ cơ sở dữ liệu dạng số</v>
      </c>
      <c r="C573" s="226" t="str">
        <f>L_CViec!AD458</f>
        <v>GCN</v>
      </c>
      <c r="D573" s="226">
        <f>L_CViec!AC458</f>
        <v>1</v>
      </c>
      <c r="E573" s="226" t="str">
        <f>L_CViec!AE458</f>
        <v>1KS2</v>
      </c>
      <c r="F573" s="226" t="str">
        <f>L_CViec!AF458</f>
        <v>1-3</v>
      </c>
      <c r="G573" s="226">
        <f>L_CViec!AG458</f>
        <v>0.1</v>
      </c>
      <c r="H573" s="283">
        <f>L_CViec!AH458</f>
        <v>0.1</v>
      </c>
      <c r="I573" s="283">
        <f>L_CViec!AI458</f>
        <v>0.1</v>
      </c>
      <c r="J573" s="718">
        <f>L_CViec!AJ458</f>
        <v>320867.25</v>
      </c>
      <c r="K573" s="512">
        <f t="shared" si="159"/>
        <v>32086.725000000002</v>
      </c>
      <c r="L573" s="512">
        <f t="shared" si="160"/>
        <v>32086.725000000002</v>
      </c>
      <c r="M573" s="630">
        <f t="shared" si="161"/>
        <v>32086.725000000002</v>
      </c>
      <c r="N573" s="718">
        <f>$D573*G573*L_CBac!$J$68</f>
        <v>973.07692307692309</v>
      </c>
      <c r="O573" s="718">
        <f>$D573*H573*L_CBac!$J$68</f>
        <v>973.07692307692309</v>
      </c>
      <c r="P573" s="718">
        <f>$D573*I573*L_CBac!$J$68</f>
        <v>973.07692307692309</v>
      </c>
    </row>
    <row r="574" spans="1:16" s="50" customFormat="1" ht="22.5" customHeight="1">
      <c r="A574" s="226" t="str">
        <f>L_CViec!A459</f>
        <v>17.2</v>
      </c>
      <c r="B574" s="227" t="str">
        <f>L_CViec!B459</f>
        <v>Đối với những nơi chưa có bản đồ dạng số</v>
      </c>
      <c r="C574" s="226" t="str">
        <f>L_CViec!AD459</f>
        <v>GCN</v>
      </c>
      <c r="D574" s="226">
        <f>L_CViec!AC459</f>
        <v>1</v>
      </c>
      <c r="E574" s="226" t="str">
        <f>L_CViec!AE459</f>
        <v>1KS2</v>
      </c>
      <c r="F574" s="226" t="str">
        <f>L_CViec!AF459</f>
        <v>1-3</v>
      </c>
      <c r="G574" s="226">
        <f>L_CViec!AG459</f>
        <v>0.15</v>
      </c>
      <c r="H574" s="283">
        <f>L_CViec!AH459</f>
        <v>0.2</v>
      </c>
      <c r="I574" s="283">
        <f>L_CViec!AI459</f>
        <v>0.2</v>
      </c>
      <c r="J574" s="718">
        <f>L_CViec!AJ459</f>
        <v>320867.25</v>
      </c>
      <c r="K574" s="512">
        <f t="shared" si="159"/>
        <v>48130.087500000001</v>
      </c>
      <c r="L574" s="512">
        <f t="shared" si="160"/>
        <v>64173.450000000004</v>
      </c>
      <c r="M574" s="512">
        <f t="shared" si="161"/>
        <v>64173.450000000004</v>
      </c>
      <c r="N574" s="718">
        <f>$D574*G574*L_CBac!$J$68</f>
        <v>1459.6153846153845</v>
      </c>
      <c r="O574" s="718">
        <f>$D574*H574*L_CBac!$J$68</f>
        <v>1946.1538461538462</v>
      </c>
      <c r="P574" s="718">
        <f>$D574*I574*L_CBac!$J$68</f>
        <v>1946.1538461538462</v>
      </c>
    </row>
    <row r="575" spans="1:16" s="50" customFormat="1" ht="21" customHeight="1">
      <c r="A575" s="226" t="str">
        <f>L_CViec!A460</f>
        <v>18</v>
      </c>
      <c r="B575" s="227" t="str">
        <f>L_CViec!B460</f>
        <v>Xác nhận nội dung biến động trên GCN hoặc cấp GCN mới</v>
      </c>
      <c r="C575" s="226" t="str">
        <f>L_CViec!AD460</f>
        <v>GCN</v>
      </c>
      <c r="D575" s="226">
        <f>L_CViec!AC460</f>
        <v>1</v>
      </c>
      <c r="E575" s="226" t="str">
        <f>L_CViec!AE460</f>
        <v>1KS2</v>
      </c>
      <c r="F575" s="226" t="str">
        <f>L_CViec!AF460</f>
        <v>1-3</v>
      </c>
      <c r="G575" s="226">
        <f>L_CViec!AG460</f>
        <v>0.1</v>
      </c>
      <c r="H575" s="283">
        <f>L_CViec!AH460</f>
        <v>0.1</v>
      </c>
      <c r="I575" s="283">
        <f>L_CViec!AI460</f>
        <v>0.1</v>
      </c>
      <c r="J575" s="718">
        <f>L_CViec!AJ460</f>
        <v>320867.25</v>
      </c>
      <c r="K575" s="512">
        <f t="shared" si="159"/>
        <v>32086.725000000002</v>
      </c>
      <c r="L575" s="512">
        <f t="shared" si="160"/>
        <v>32086.725000000002</v>
      </c>
      <c r="M575" s="630">
        <f t="shared" si="161"/>
        <v>32086.725000000002</v>
      </c>
      <c r="N575" s="718">
        <f>$D575*G575*L_CBac!$J$68</f>
        <v>973.07692307692309</v>
      </c>
      <c r="O575" s="718">
        <f>$D575*H575*L_CBac!$J$68</f>
        <v>973.07692307692309</v>
      </c>
      <c r="P575" s="718">
        <f>$D575*I575*L_CBac!$J$68</f>
        <v>973.07692307692309</v>
      </c>
    </row>
    <row r="576" spans="1:16" s="50" customFormat="1" ht="26">
      <c r="A576" s="226" t="str">
        <f>L_CViec!A461</f>
        <v>19</v>
      </c>
      <c r="B576" s="227" t="str">
        <f>L_CViec!B461</f>
        <v>Thu hồi Giấy chứng nhận đã cấp của bên thuê, bên thuê lại đất đối với trường hợp xóa cho thuê, cho thuê lại đất</v>
      </c>
      <c r="C576" s="226" t="str">
        <f>L_CViec!AD461</f>
        <v>GCN</v>
      </c>
      <c r="D576" s="226">
        <f>L_CViec!AC461</f>
        <v>1</v>
      </c>
      <c r="E576" s="226" t="str">
        <f>L_CViec!AE461</f>
        <v>1KS2</v>
      </c>
      <c r="F576" s="226" t="str">
        <f>L_CViec!AF461</f>
        <v>1-3</v>
      </c>
      <c r="G576" s="226">
        <f>L_CViec!AG461</f>
        <v>0.1</v>
      </c>
      <c r="H576" s="283">
        <f>L_CViec!AH461</f>
        <v>0.1</v>
      </c>
      <c r="I576" s="283">
        <f>L_CViec!AI461</f>
        <v>0.1</v>
      </c>
      <c r="J576" s="718">
        <f>L_CViec!AJ461</f>
        <v>320867.25</v>
      </c>
      <c r="K576" s="512">
        <f t="shared" si="159"/>
        <v>32086.725000000002</v>
      </c>
      <c r="L576" s="512">
        <f t="shared" si="160"/>
        <v>32086.725000000002</v>
      </c>
      <c r="M576" s="630">
        <f t="shared" si="161"/>
        <v>32086.725000000002</v>
      </c>
      <c r="N576" s="718">
        <f>$D576*G576*L_CBac!$J$68</f>
        <v>973.07692307692309</v>
      </c>
      <c r="O576" s="718">
        <f>$D576*H576*L_CBac!$J$68</f>
        <v>973.07692307692309</v>
      </c>
      <c r="P576" s="718">
        <f>$D576*I576*L_CBac!$J$68</f>
        <v>973.07692307692309</v>
      </c>
    </row>
    <row r="577" spans="1:18" s="50" customFormat="1" ht="26">
      <c r="A577" s="226" t="str">
        <f>L_CViec!A462</f>
        <v>20</v>
      </c>
      <c r="B577" s="227" t="str">
        <f>L_CViec!B462</f>
        <v>Nhập thông tin vào Sổ cấp giấy; gửi thông báo biến động cho cấp xã</v>
      </c>
      <c r="C577" s="226" t="str">
        <f>L_CViec!AD462</f>
        <v>Hồ sơ</v>
      </c>
      <c r="D577" s="226">
        <f>L_CViec!AC462</f>
        <v>1</v>
      </c>
      <c r="E577" s="226" t="str">
        <f>L_CViec!AE462</f>
        <v>1KS3</v>
      </c>
      <c r="F577" s="226" t="str">
        <f>L_CViec!AF462</f>
        <v>1-3</v>
      </c>
      <c r="G577" s="226">
        <f>L_CViec!AG462</f>
        <v>0.37</v>
      </c>
      <c r="H577" s="283">
        <f>L_CViec!AH462</f>
        <v>0.37</v>
      </c>
      <c r="I577" s="283">
        <f>L_CViec!AI462</f>
        <v>0.44400000000000001</v>
      </c>
      <c r="J577" s="718">
        <f>L_CViec!AJ462</f>
        <v>360525</v>
      </c>
      <c r="K577" s="512">
        <f t="shared" si="159"/>
        <v>133394.25</v>
      </c>
      <c r="L577" s="512">
        <f t="shared" si="160"/>
        <v>133394.25</v>
      </c>
      <c r="M577" s="630">
        <f t="shared" si="161"/>
        <v>160073.1</v>
      </c>
      <c r="N577" s="718">
        <f>$D577*G577*L_CBac!$J$68</f>
        <v>3600.3846153846152</v>
      </c>
      <c r="O577" s="718">
        <f>$D577*H577*L_CBac!$J$68</f>
        <v>3600.3846153846152</v>
      </c>
      <c r="P577" s="718">
        <f>$D577*I577*L_CBac!$J$68</f>
        <v>4320.4615384615381</v>
      </c>
    </row>
    <row r="578" spans="1:18" s="50" customFormat="1">
      <c r="A578" s="226" t="str">
        <f>L_CViec!A463</f>
        <v>21</v>
      </c>
      <c r="B578" s="227" t="str">
        <f>L_CViec!B463</f>
        <v>Nhập bổ sung thông tin dữ liệu về GCN</v>
      </c>
      <c r="C578" s="226" t="str">
        <f>L_CViec!AD463</f>
        <v>Thửa</v>
      </c>
      <c r="D578" s="226">
        <f>L_CViec!AC463</f>
        <v>1</v>
      </c>
      <c r="E578" s="226" t="str">
        <f>L_CViec!AE463</f>
        <v>1KS3</v>
      </c>
      <c r="F578" s="226" t="str">
        <f>L_CViec!AF463</f>
        <v>1-3</v>
      </c>
      <c r="G578" s="226">
        <f>L_CViec!AG463</f>
        <v>3.3000000000000002E-2</v>
      </c>
      <c r="H578" s="283">
        <f>L_CViec!AH463</f>
        <v>3.3000000000000002E-2</v>
      </c>
      <c r="I578" s="283">
        <f>L_CViec!AI463</f>
        <v>3.3000000000000002E-2</v>
      </c>
      <c r="J578" s="718">
        <f>L_CViec!AJ463</f>
        <v>360525</v>
      </c>
      <c r="K578" s="512">
        <f t="shared" si="159"/>
        <v>11897.325000000001</v>
      </c>
      <c r="L578" s="512">
        <f t="shared" si="160"/>
        <v>11897.325000000001</v>
      </c>
      <c r="M578" s="630">
        <f t="shared" si="161"/>
        <v>11897.325000000001</v>
      </c>
      <c r="N578" s="718">
        <f>$D578*G578*L_CBac!$J$68</f>
        <v>321.11538461538464</v>
      </c>
      <c r="O578" s="718">
        <f>$D578*H578*L_CBac!$J$68</f>
        <v>321.11538461538464</v>
      </c>
      <c r="P578" s="718">
        <f>$D578*I578*L_CBac!$J$68</f>
        <v>321.11538461538464</v>
      </c>
    </row>
    <row r="579" spans="1:18" s="50" customFormat="1" ht="26">
      <c r="A579" s="226" t="str">
        <f>L_CViec!A464</f>
        <v>22</v>
      </c>
      <c r="B579" s="227" t="str">
        <f>L_CViec!B464</f>
        <v>Quét giấy tờ pháp lý về quyền sử dụng đất, quyền sở hữu nhà ở và tài sản khác gắn liền với đất</v>
      </c>
      <c r="C579" s="226">
        <f>L_CViec!AD464</f>
        <v>0</v>
      </c>
      <c r="D579" s="226">
        <f>L_CViec!AC464</f>
        <v>0</v>
      </c>
      <c r="E579" s="226">
        <f>L_CViec!AE464</f>
        <v>0</v>
      </c>
      <c r="F579" s="226">
        <f>L_CViec!AF464</f>
        <v>0</v>
      </c>
      <c r="G579" s="226">
        <f>L_CViec!AG464</f>
        <v>0</v>
      </c>
      <c r="H579" s="283">
        <f>L_CViec!AH464</f>
        <v>0</v>
      </c>
      <c r="I579" s="283">
        <f>L_CViec!AI464</f>
        <v>0</v>
      </c>
      <c r="J579" s="718">
        <f>L_CViec!AJ464</f>
        <v>0</v>
      </c>
      <c r="K579" s="512">
        <f t="shared" si="159"/>
        <v>0</v>
      </c>
      <c r="L579" s="512">
        <f t="shared" si="160"/>
        <v>0</v>
      </c>
      <c r="M579" s="512">
        <f t="shared" si="161"/>
        <v>0</v>
      </c>
      <c r="N579" s="718">
        <f>$D579*G579*L_CBac!$J$68</f>
        <v>0</v>
      </c>
      <c r="O579" s="718">
        <f>$D579*H579*L_CBac!$J$68</f>
        <v>0</v>
      </c>
      <c r="P579" s="718">
        <f>$D579*I579*L_CBac!$J$68</f>
        <v>0</v>
      </c>
    </row>
    <row r="580" spans="1:18" s="50" customFormat="1">
      <c r="A580" s="226" t="str">
        <f>L_CViec!A465</f>
        <v>22.1</v>
      </c>
      <c r="B580" s="227" t="str">
        <f>L_CViec!B465</f>
        <v>Quét trang A3</v>
      </c>
      <c r="C580" s="226" t="str">
        <f>L_CViec!AD465</f>
        <v>Trang</v>
      </c>
      <c r="D580" s="226">
        <f>L_CViec!AC465</f>
        <v>1</v>
      </c>
      <c r="E580" s="226" t="str">
        <f>L_CViec!AE465</f>
        <v>1KS1</v>
      </c>
      <c r="F580" s="226" t="str">
        <f>L_CViec!AF465</f>
        <v>1-3</v>
      </c>
      <c r="G580" s="226">
        <f>L_CViec!AG465</f>
        <v>1.6E-2</v>
      </c>
      <c r="H580" s="283">
        <f>L_CViec!AH465</f>
        <v>1.6E-2</v>
      </c>
      <c r="I580" s="283">
        <f>L_CViec!AI465</f>
        <v>0.02</v>
      </c>
      <c r="J580" s="718">
        <f>L_CViec!AJ465</f>
        <v>281209.5</v>
      </c>
      <c r="K580" s="512">
        <f t="shared" si="159"/>
        <v>4499.3519999999999</v>
      </c>
      <c r="L580" s="512">
        <f t="shared" si="160"/>
        <v>4499.3519999999999</v>
      </c>
      <c r="M580" s="512">
        <f t="shared" si="161"/>
        <v>5624.1900000000005</v>
      </c>
      <c r="N580" s="718">
        <f>$D580*G580*L_CBac!$J$68</f>
        <v>155.69230769230768</v>
      </c>
      <c r="O580" s="718">
        <f>$D580*H580*L_CBac!$J$68</f>
        <v>155.69230769230768</v>
      </c>
      <c r="P580" s="718">
        <f>$D580*I580*L_CBac!$J$68</f>
        <v>194.61538461538461</v>
      </c>
    </row>
    <row r="581" spans="1:18" s="50" customFormat="1">
      <c r="A581" s="226" t="str">
        <f>L_CViec!A466</f>
        <v>22.2</v>
      </c>
      <c r="B581" s="227" t="str">
        <f>L_CViec!B466</f>
        <v>Quét trang A4</v>
      </c>
      <c r="C581" s="226" t="str">
        <f>L_CViec!AD466</f>
        <v>Trang</v>
      </c>
      <c r="D581" s="226">
        <f>L_CViec!AC466</f>
        <v>1</v>
      </c>
      <c r="E581" s="226" t="str">
        <f>L_CViec!AE466</f>
        <v>1KS1</v>
      </c>
      <c r="F581" s="226" t="str">
        <f>L_CViec!AF466</f>
        <v>1-3</v>
      </c>
      <c r="G581" s="226">
        <f>L_CViec!AG466</f>
        <v>8.0000000000000002E-3</v>
      </c>
      <c r="H581" s="283">
        <f>L_CViec!AH466</f>
        <v>8.0000000000000002E-3</v>
      </c>
      <c r="I581" s="283">
        <f>L_CViec!AI466</f>
        <v>0.01</v>
      </c>
      <c r="J581" s="718">
        <f>L_CViec!AJ466</f>
        <v>281209.5</v>
      </c>
      <c r="K581" s="512">
        <f t="shared" si="159"/>
        <v>2249.6759999999999</v>
      </c>
      <c r="L581" s="512">
        <f t="shared" si="160"/>
        <v>2249.6759999999999</v>
      </c>
      <c r="M581" s="512">
        <f t="shared" si="161"/>
        <v>2812.0950000000003</v>
      </c>
      <c r="N581" s="718">
        <f>$D581*G581*L_CBac!$J$68</f>
        <v>77.84615384615384</v>
      </c>
      <c r="O581" s="718">
        <f>$D581*H581*L_CBac!$J$68</f>
        <v>77.84615384615384</v>
      </c>
      <c r="P581" s="718">
        <f>$D581*I581*L_CBac!$J$68</f>
        <v>97.307692307692307</v>
      </c>
    </row>
    <row r="582" spans="1:18" s="50" customFormat="1" ht="26">
      <c r="A582" s="226" t="str">
        <f>L_CViec!A467</f>
        <v>23</v>
      </c>
      <c r="B582" s="227" t="str">
        <f>L_CViec!B467</f>
        <v>Xử lý các tệp tin quét thành tệp (File) hồ sơ quét dạng số của thửa đất, lưu trữ dưới khuôn dạng tệp tin PDF</v>
      </c>
      <c r="C582" s="226" t="str">
        <f>L_CViec!AD467</f>
        <v>Trang</v>
      </c>
      <c r="D582" s="226">
        <f>L_CViec!AC467</f>
        <v>1</v>
      </c>
      <c r="E582" s="226" t="str">
        <f>L_CViec!AE467</f>
        <v>1KS1</v>
      </c>
      <c r="F582" s="226" t="str">
        <f>L_CViec!AF467</f>
        <v>1-3</v>
      </c>
      <c r="G582" s="226">
        <f>L_CViec!AG467</f>
        <v>4.0000000000000001E-3</v>
      </c>
      <c r="H582" s="283">
        <f>L_CViec!AH467</f>
        <v>4.0000000000000001E-3</v>
      </c>
      <c r="I582" s="283">
        <f>L_CViec!AI467</f>
        <v>5.0000000000000001E-3</v>
      </c>
      <c r="J582" s="718">
        <f>L_CViec!AJ467</f>
        <v>281209.5</v>
      </c>
      <c r="K582" s="512">
        <f t="shared" si="159"/>
        <v>1124.838</v>
      </c>
      <c r="L582" s="512">
        <f t="shared" si="160"/>
        <v>1124.838</v>
      </c>
      <c r="M582" s="512">
        <f t="shared" si="161"/>
        <v>1406.0475000000001</v>
      </c>
      <c r="N582" s="718">
        <f>$D582*G582*L_CBac!$J$68</f>
        <v>38.92307692307692</v>
      </c>
      <c r="O582" s="718">
        <f>$D582*H582*L_CBac!$J$68</f>
        <v>38.92307692307692</v>
      </c>
      <c r="P582" s="718">
        <f>$D582*I582*L_CBac!$J$68</f>
        <v>48.653846153846153</v>
      </c>
    </row>
    <row r="583" spans="1:18" s="50" customFormat="1" ht="26">
      <c r="A583" s="226" t="str">
        <f>L_CViec!A468</f>
        <v>24</v>
      </c>
      <c r="B583" s="227" t="str">
        <f>L_CViec!B468</f>
        <v>Tạo liên kết hồ sơ quét dạng số với thửa đất trong cơ sở dữ liệu</v>
      </c>
      <c r="C583" s="226" t="str">
        <f>L_CViec!AD468</f>
        <v>Thửa</v>
      </c>
      <c r="D583" s="226">
        <f>L_CViec!AC468</f>
        <v>1</v>
      </c>
      <c r="E583" s="226" t="str">
        <f>L_CViec!AE468</f>
        <v>1KS1</v>
      </c>
      <c r="F583" s="226" t="str">
        <f>L_CViec!AF468</f>
        <v>1-3</v>
      </c>
      <c r="G583" s="226">
        <f>L_CViec!AG468</f>
        <v>0.01</v>
      </c>
      <c r="H583" s="283">
        <f>L_CViec!AH468</f>
        <v>0.01</v>
      </c>
      <c r="I583" s="283">
        <f>L_CViec!AI468</f>
        <v>0.01</v>
      </c>
      <c r="J583" s="718">
        <f>L_CViec!AJ468</f>
        <v>281209.5</v>
      </c>
      <c r="K583" s="512">
        <f t="shared" si="159"/>
        <v>2812.0950000000003</v>
      </c>
      <c r="L583" s="512">
        <f t="shared" si="160"/>
        <v>2812.0950000000003</v>
      </c>
      <c r="M583" s="512">
        <f t="shared" si="161"/>
        <v>2812.0950000000003</v>
      </c>
      <c r="N583" s="718">
        <f>$D583*G583*L_CBac!$J$68</f>
        <v>97.307692307692307</v>
      </c>
      <c r="O583" s="718">
        <f>$D583*H583*L_CBac!$J$68</f>
        <v>97.307692307692307</v>
      </c>
      <c r="P583" s="718">
        <f>$D583*I583*L_CBac!$J$68</f>
        <v>97.307692307692307</v>
      </c>
    </row>
    <row r="584" spans="1:18" s="50" customFormat="1" ht="65">
      <c r="A584" s="226" t="str">
        <f>L_CViec!A469</f>
        <v>25</v>
      </c>
      <c r="B584" s="227" t="str">
        <f>L_CViec!B469</f>
        <v>Chuyển Giấy chứng nhận đến Bộ phận một cửa để trao cho người sử dụng đất hoặc chuyển Giấy chứng nhận cho người sử dụng đất thông qua dịch vụ bưu chính công ích hoặc Văn phòng đăng ký đất đai nhận lại GCN cũ đang thế chấp từ tổ chức tín dụng và trao GCN mới</v>
      </c>
      <c r="C584" s="226" t="str">
        <f>L_CViec!AD469</f>
        <v>Hồ sơ</v>
      </c>
      <c r="D584" s="226">
        <f>L_CViec!AC469</f>
        <v>1</v>
      </c>
      <c r="E584" s="226" t="str">
        <f>L_CViec!AE469</f>
        <v>1KS2</v>
      </c>
      <c r="F584" s="226" t="str">
        <f>L_CViec!AF469</f>
        <v>1-3</v>
      </c>
      <c r="G584" s="226">
        <f>L_CViec!AG469</f>
        <v>0.05</v>
      </c>
      <c r="H584" s="283">
        <f>L_CViec!AH469</f>
        <v>0.05</v>
      </c>
      <c r="I584" s="283">
        <f>L_CViec!AI469</f>
        <v>6.5000000000000002E-2</v>
      </c>
      <c r="J584" s="718">
        <f>L_CViec!AJ469</f>
        <v>320867.25</v>
      </c>
      <c r="K584" s="512">
        <f t="shared" si="159"/>
        <v>16043.362500000001</v>
      </c>
      <c r="L584" s="512">
        <f t="shared" si="160"/>
        <v>16043.362500000001</v>
      </c>
      <c r="M584" s="630">
        <f t="shared" si="161"/>
        <v>20856.37125</v>
      </c>
      <c r="N584" s="718">
        <f>$D584*G584*L_CBac!$J$68</f>
        <v>486.53846153846155</v>
      </c>
      <c r="O584" s="718">
        <f>$D584*H584*L_CBac!$J$68</f>
        <v>486.53846153846155</v>
      </c>
      <c r="P584" s="718">
        <f>$D584*I584*L_CBac!$J$68</f>
        <v>632.5</v>
      </c>
    </row>
    <row r="585" spans="1:18" s="50" customFormat="1" ht="22.5" customHeight="1">
      <c r="A585" s="223" t="str">
        <f>L_CViec!A470</f>
        <v>VIII.3</v>
      </c>
      <c r="B585" s="408" t="str">
        <f>L_CViec!B470</f>
        <v>CÁC NỘI DUNG THỰC HIỆN TẠI ĐỊA BÀN XÃ, PHƯỜNG,</v>
      </c>
      <c r="C585" s="408">
        <f>L_CViec!AD470</f>
        <v>0</v>
      </c>
      <c r="D585" s="408">
        <f>L_CViec!AC470</f>
        <v>0</v>
      </c>
      <c r="E585" s="408">
        <f>L_CViec!AE470</f>
        <v>0</v>
      </c>
      <c r="F585" s="408">
        <f>L_CViec!AF470</f>
        <v>0</v>
      </c>
      <c r="G585" s="408">
        <f>L_CViec!AG470</f>
        <v>0</v>
      </c>
      <c r="H585" s="481">
        <f>L_CViec!AH470</f>
        <v>0</v>
      </c>
      <c r="I585" s="481">
        <f>L_CViec!AI470</f>
        <v>0</v>
      </c>
      <c r="J585" s="718">
        <f>L_CViec!AJ470</f>
        <v>0</v>
      </c>
      <c r="K585" s="475">
        <f>K588+K587+K586</f>
        <v>81911.280000000013</v>
      </c>
      <c r="L585" s="475">
        <f t="shared" ref="L585:P585" si="162">L588+L587+L586</f>
        <v>81911.280000000013</v>
      </c>
      <c r="M585" s="623">
        <f>M588+M587+M586</f>
        <v>112902.00899999999</v>
      </c>
      <c r="N585" s="718">
        <f t="shared" si="162"/>
        <v>2530</v>
      </c>
      <c r="O585" s="718">
        <f t="shared" si="162"/>
        <v>2530</v>
      </c>
      <c r="P585" s="718">
        <f t="shared" si="162"/>
        <v>3483.6153846153848</v>
      </c>
    </row>
    <row r="586" spans="1:18" s="183" customFormat="1" ht="26">
      <c r="A586" s="223">
        <f>L_CViec!A471</f>
        <v>1</v>
      </c>
      <c r="B586" s="225" t="str">
        <f>L_CViec!B471</f>
        <v>Địa bàn cấp xã (đối với những nơi chưa xây dựng CSDL) nhận thông báo, cập nhật HSĐC</v>
      </c>
      <c r="C586" s="311" t="str">
        <f>L_CViec!AD471</f>
        <v>Hồ sơ</v>
      </c>
      <c r="D586" s="308">
        <v>1</v>
      </c>
      <c r="E586" s="226" t="str">
        <f>L_CViec!AE471</f>
        <v>1KS2</v>
      </c>
      <c r="F586" s="226" t="str">
        <f>L_CViec!AF471</f>
        <v>1-3</v>
      </c>
      <c r="G586" s="226">
        <f>L_CViec!AG471</f>
        <v>0.1</v>
      </c>
      <c r="H586" s="283">
        <f>L_CViec!AH471</f>
        <v>0.1</v>
      </c>
      <c r="I586" s="283">
        <f>L_CViec!AI471</f>
        <v>0.13</v>
      </c>
      <c r="J586" s="718">
        <f>L_CViec!AJ471</f>
        <v>320867.25</v>
      </c>
      <c r="K586" s="127">
        <f t="shared" ref="K586:M588" si="163">G586*$J586</f>
        <v>32086.725000000002</v>
      </c>
      <c r="L586" s="306">
        <f t="shared" si="163"/>
        <v>32086.725000000002</v>
      </c>
      <c r="M586" s="306">
        <f t="shared" si="163"/>
        <v>41712.7425</v>
      </c>
      <c r="N586" s="718">
        <f>$D586*G586*L_CBac!$J$68</f>
        <v>973.07692307692309</v>
      </c>
      <c r="O586" s="718">
        <f>$D586*H586*L_CBac!$J$68</f>
        <v>973.07692307692309</v>
      </c>
      <c r="P586" s="718">
        <f>$D586*I586*L_CBac!$J$68</f>
        <v>1265</v>
      </c>
    </row>
    <row r="587" spans="1:18" s="183" customFormat="1" ht="39">
      <c r="A587" s="223">
        <f>L_CViec!A472</f>
        <v>2</v>
      </c>
      <c r="B587" s="225" t="str">
        <f>L_CViec!B472</f>
        <v>Niêm yết tại trụ sở Ủy ban nhân dân cấp xã nơi có đất về việc làm thủ tục cấp Giấy chứng nhận cho người nhận chuyển quyền</v>
      </c>
      <c r="C587" s="311" t="str">
        <f>L_CViec!AD472</f>
        <v>Hồ sơ</v>
      </c>
      <c r="D587" s="308">
        <v>1</v>
      </c>
      <c r="E587" s="226" t="str">
        <f>L_CViec!AE472</f>
        <v>1KTV4</v>
      </c>
      <c r="F587" s="226" t="str">
        <f>L_CViec!AF472</f>
        <v>1-3</v>
      </c>
      <c r="G587" s="226">
        <f>L_CViec!AG472</f>
        <v>0.06</v>
      </c>
      <c r="H587" s="283">
        <f>L_CViec!AH472</f>
        <v>0.06</v>
      </c>
      <c r="I587" s="283">
        <f>L_CViec!AI472</f>
        <v>7.8E-2</v>
      </c>
      <c r="J587" s="718">
        <f>L_CViec!AJ472</f>
        <v>295630.50000000006</v>
      </c>
      <c r="K587" s="127">
        <f t="shared" si="163"/>
        <v>17737.830000000002</v>
      </c>
      <c r="L587" s="306">
        <f t="shared" si="163"/>
        <v>17737.830000000002</v>
      </c>
      <c r="M587" s="306">
        <f t="shared" si="163"/>
        <v>23059.179000000004</v>
      </c>
      <c r="N587" s="718">
        <f>$D587*G587*L_CBac!$J$68</f>
        <v>583.84615384615381</v>
      </c>
      <c r="O587" s="718">
        <f>$D587*H587*L_CBac!$J$68</f>
        <v>583.84615384615381</v>
      </c>
      <c r="P587" s="718">
        <f>$D587*I587*L_CBac!$J$68</f>
        <v>759</v>
      </c>
    </row>
    <row r="588" spans="1:18" s="50" customFormat="1" ht="39">
      <c r="A588" s="223">
        <f>L_CViec!A473</f>
        <v>3</v>
      </c>
      <c r="B588" s="225" t="str">
        <f>L_CViec!B473</f>
        <v>Chuyển Văn phòng đăng ký đất đai, Chi nhánh Văn phòng đăng ký đất đai văn bản về xác nhận về tình trạng sạt lở tự nhiên hoặc văn bản về việc tặng cho quyền sử dụng đất</v>
      </c>
      <c r="C588" s="311" t="str">
        <f>L_CViec!AD473</f>
        <v>Hồ sơ</v>
      </c>
      <c r="D588" s="308">
        <v>1</v>
      </c>
      <c r="E588" s="226" t="str">
        <f>L_CViec!AE473</f>
        <v>1KS2</v>
      </c>
      <c r="F588" s="226" t="str">
        <f>L_CViec!AF473</f>
        <v>1-3</v>
      </c>
      <c r="G588" s="226">
        <f>L_CViec!AG473</f>
        <v>0.1</v>
      </c>
      <c r="H588" s="283">
        <f>L_CViec!AH473</f>
        <v>0.1</v>
      </c>
      <c r="I588" s="283">
        <f>L_CViec!AI473</f>
        <v>0.15</v>
      </c>
      <c r="J588" s="718">
        <f>L_CViec!AJ473</f>
        <v>320867.25</v>
      </c>
      <c r="K588" s="127">
        <f t="shared" si="163"/>
        <v>32086.725000000002</v>
      </c>
      <c r="L588" s="306">
        <f t="shared" si="163"/>
        <v>32086.725000000002</v>
      </c>
      <c r="M588" s="306">
        <f t="shared" si="163"/>
        <v>48130.087500000001</v>
      </c>
      <c r="N588" s="718">
        <f>$D588*G588*L_CBac!$J$68</f>
        <v>973.07692307692309</v>
      </c>
      <c r="O588" s="718">
        <f>$D588*H588*L_CBac!$J$68</f>
        <v>973.07692307692309</v>
      </c>
      <c r="P588" s="718">
        <f>$D588*I588*L_CBac!$J$68</f>
        <v>1459.6153846153845</v>
      </c>
    </row>
    <row r="589" spans="1:18" s="50" customFormat="1" ht="18.75" customHeight="1">
      <c r="A589" s="48" t="str">
        <f>L_CViec!A474</f>
        <v>VIII.4</v>
      </c>
      <c r="B589" s="52" t="str">
        <f>L_CViec!B474</f>
        <v>GHI CHÚ</v>
      </c>
      <c r="C589" s="52">
        <f>L_CViec!AD474</f>
        <v>0</v>
      </c>
      <c r="D589" s="52"/>
      <c r="E589" s="52">
        <f>L_CViec!AE474</f>
        <v>0</v>
      </c>
      <c r="F589" s="52">
        <f>L_CViec!AF474</f>
        <v>0</v>
      </c>
      <c r="G589" s="52">
        <f>L_CViec!AG474</f>
        <v>0</v>
      </c>
      <c r="H589" s="472">
        <f>L_CViec!AH474</f>
        <v>0</v>
      </c>
      <c r="I589" s="472">
        <f>L_CViec!AI474</f>
        <v>0</v>
      </c>
      <c r="J589" s="721">
        <f>L_CViec!AJ474</f>
        <v>0</v>
      </c>
      <c r="K589" s="472"/>
      <c r="L589" s="472"/>
      <c r="M589" s="472"/>
      <c r="N589" s="473"/>
      <c r="O589" s="473"/>
      <c r="P589" s="473"/>
    </row>
    <row r="590" spans="1:18" s="50" customFormat="1" ht="28.9" customHeight="1">
      <c r="A590" s="49" t="str">
        <f>L_CViec!A475</f>
        <v>1</v>
      </c>
      <c r="B590" s="974" t="str">
        <f>L_CViec!B475</f>
        <v>(1) Cột “ĐM Đất” áp dụng cho trường hợp đăng ký, cấp GCN đối với đất; cột “ĐM TS” áp dụng cho trường hợp đăng ký, cấp GCN đối với tài sản; cột “ĐM Đất + TS” áp dụng đối với trường hợp đăng ký, cấp GCN đối với cả đất và tài sản gắn liền với đất.</v>
      </c>
      <c r="C590" s="974"/>
      <c r="D590" s="974"/>
      <c r="E590" s="974"/>
      <c r="F590" s="974"/>
      <c r="G590" s="974"/>
      <c r="H590" s="974"/>
      <c r="I590" s="974"/>
      <c r="J590" s="974"/>
      <c r="K590" s="974"/>
      <c r="L590" s="974"/>
      <c r="M590" s="974"/>
      <c r="N590" s="474"/>
      <c r="O590" s="474"/>
      <c r="P590" s="474"/>
    </row>
    <row r="591" spans="1:18" s="50" customFormat="1" ht="18" customHeight="1">
      <c r="A591" s="49" t="str">
        <f>L_CViec!A476</f>
        <v>2</v>
      </c>
      <c r="B591" s="974" t="str">
        <f>L_CViec!B476</f>
        <v>(2) Các trường hợp đăng ký biến động đất đai mà thực hiện cấp mới GCN thì áp dụng định mức của Bảng này. Trường hợp đăng ký biến động mà không thực hiện cấp mới GCN thì áp dụng theo quy định tại Bảng 13.1 sau đây:</v>
      </c>
      <c r="C591" s="974"/>
      <c r="D591" s="974"/>
      <c r="E591" s="974"/>
      <c r="F591" s="974"/>
      <c r="G591" s="974"/>
      <c r="H591" s="974"/>
      <c r="I591" s="974"/>
      <c r="J591" s="974"/>
      <c r="K591" s="974"/>
      <c r="L591" s="974"/>
      <c r="M591" s="974"/>
      <c r="N591" s="473"/>
      <c r="O591" s="473"/>
      <c r="P591" s="473"/>
    </row>
    <row r="592" spans="1:18" s="50" customFormat="1" ht="30" customHeight="1">
      <c r="A592" s="929" t="s">
        <v>762</v>
      </c>
      <c r="B592" s="929" t="s">
        <v>287</v>
      </c>
      <c r="C592" s="929" t="s">
        <v>38</v>
      </c>
      <c r="D592" s="929" t="s">
        <v>764</v>
      </c>
      <c r="E592" s="931" t="s">
        <v>892</v>
      </c>
      <c r="F592" s="933" t="s">
        <v>35</v>
      </c>
      <c r="G592" s="933"/>
      <c r="H592" s="933"/>
      <c r="I592" s="931" t="s">
        <v>893</v>
      </c>
      <c r="J592" s="935" t="s">
        <v>35</v>
      </c>
      <c r="K592" s="936"/>
      <c r="L592" s="936"/>
      <c r="M592" s="929" t="s">
        <v>765</v>
      </c>
      <c r="N592" s="928"/>
      <c r="O592" s="928"/>
      <c r="P592" s="927" t="s">
        <v>313</v>
      </c>
      <c r="Q592" s="928"/>
      <c r="R592" s="928"/>
    </row>
    <row r="593" spans="1:18" s="50" customFormat="1" ht="34.5" customHeight="1">
      <c r="A593" s="930"/>
      <c r="B593" s="930"/>
      <c r="C593" s="930"/>
      <c r="D593" s="930"/>
      <c r="E593" s="932"/>
      <c r="F593" s="761" t="s">
        <v>316</v>
      </c>
      <c r="G593" s="761" t="s">
        <v>315</v>
      </c>
      <c r="H593" s="761" t="s">
        <v>314</v>
      </c>
      <c r="I593" s="934"/>
      <c r="J593" s="761" t="s">
        <v>316</v>
      </c>
      <c r="K593" s="761" t="s">
        <v>315</v>
      </c>
      <c r="L593" s="761" t="s">
        <v>314</v>
      </c>
      <c r="M593" s="758" t="s">
        <v>316</v>
      </c>
      <c r="N593" s="758" t="s">
        <v>315</v>
      </c>
      <c r="O593" s="758" t="s">
        <v>314</v>
      </c>
      <c r="P593" s="766" t="s">
        <v>316</v>
      </c>
      <c r="Q593" s="758" t="s">
        <v>315</v>
      </c>
      <c r="R593" s="758" t="s">
        <v>314</v>
      </c>
    </row>
    <row r="594" spans="1:18" s="50" customFormat="1" ht="117">
      <c r="A594" s="764">
        <v>1</v>
      </c>
      <c r="B594" s="765" t="s">
        <v>248</v>
      </c>
      <c r="C594" s="446" t="s">
        <v>51</v>
      </c>
      <c r="D594" s="446" t="s">
        <v>31</v>
      </c>
      <c r="E594" s="226" t="s">
        <v>886</v>
      </c>
      <c r="F594" s="374">
        <f>(K546+K547+K551+K552+K556+K575+K577+K581+K582+K583+K584+K586)</f>
        <v>1748192.9355000001</v>
      </c>
      <c r="G594" s="374">
        <f t="shared" ref="G594:H594" si="164">(L546+L547+L551+L552+L556+L575+L577+L581+L582+L583+L584+L586)</f>
        <v>1749036.5640000002</v>
      </c>
      <c r="H594" s="374">
        <f t="shared" si="164"/>
        <v>2249347.9222500003</v>
      </c>
      <c r="I594" s="446">
        <v>0.47799999999999998</v>
      </c>
      <c r="J594" s="621">
        <f>I594*($K$548+$K$561+$K$571+$K$578)</f>
        <v>30330.247199999994</v>
      </c>
      <c r="K594" s="621">
        <f>I594*($L$548+$L$561+$L$571+$L$578)</f>
        <v>17577.7569</v>
      </c>
      <c r="L594" s="621">
        <f>I594*($M$548+$M$561+$M$571+$M$578)</f>
        <v>40670.104199999994</v>
      </c>
      <c r="M594" s="718">
        <f>F594+J594</f>
        <v>1778523.1827000002</v>
      </c>
      <c r="N594" s="718">
        <f>G594+K594</f>
        <v>1766614.3209000002</v>
      </c>
      <c r="O594" s="718">
        <f>H594+L594</f>
        <v>2290018.0264500002</v>
      </c>
      <c r="P594" s="707">
        <f>(N546+N547+N551+N552+N556+N575+N577+N581+N582+N583+N584+N586)+$I$594*(N548+N561+N571+N578)</f>
        <v>50484.476307692312</v>
      </c>
      <c r="Q594" s="707">
        <f t="shared" ref="Q594:R594" si="165">(O546+O547+O551+O552+O556+O575+O577+O581+O582+O583+O584+O586)+$I$594*(O548+O561+O571+O578)</f>
        <v>50169.471846153843</v>
      </c>
      <c r="R594" s="707">
        <f t="shared" si="165"/>
        <v>64999.670153846157</v>
      </c>
    </row>
    <row r="595" spans="1:18" s="50" customFormat="1" ht="117">
      <c r="A595" s="760">
        <v>2</v>
      </c>
      <c r="B595" s="225" t="s">
        <v>249</v>
      </c>
      <c r="C595" s="226" t="s">
        <v>51</v>
      </c>
      <c r="D595" s="226" t="s">
        <v>31</v>
      </c>
      <c r="E595" s="226" t="s">
        <v>886</v>
      </c>
      <c r="F595" s="374">
        <f>(K546+K547+K551+K552+K556+K575+K577+K581+K582+K583+K584+K586)</f>
        <v>1748192.9355000001</v>
      </c>
      <c r="G595" s="374">
        <f t="shared" ref="G595:H595" si="166">(L546+L547+L551+L552+L556+L575+L577+L581+L582+L583+L584+L586)</f>
        <v>1749036.5640000002</v>
      </c>
      <c r="H595" s="374">
        <f t="shared" si="166"/>
        <v>2249347.9222500003</v>
      </c>
      <c r="I595" s="226">
        <v>0.435</v>
      </c>
      <c r="J595" s="718">
        <f>I595*($K$548+$K$561+$K$571+$K$578)</f>
        <v>27601.793999999998</v>
      </c>
      <c r="K595" s="718">
        <f>I595*($L$548+$L$561+$L$571+$L$578)</f>
        <v>15996.494250000002</v>
      </c>
      <c r="L595" s="718">
        <f t="shared" ref="L595:L618" si="167">I595*($M$548+$M$561+$M$571+$M$578)</f>
        <v>37011.496499999994</v>
      </c>
      <c r="M595" s="127">
        <f t="shared" ref="M595:M600" si="168">F595+J595</f>
        <v>1775794.7295000001</v>
      </c>
      <c r="N595" s="127">
        <f t="shared" ref="N595:N617" si="169">G595+K595</f>
        <v>1765033.0582500002</v>
      </c>
      <c r="O595" s="127">
        <f t="shared" ref="O595:O618" si="170">H595+L595</f>
        <v>2286359.4187500002</v>
      </c>
      <c r="P595" s="450">
        <f>(N546+N547+N551+N552+N556+N575+N577+N581+N582+N583+N584+N586)+$I$595*(N548+N561+N571+N578)</f>
        <v>50410.833846153851</v>
      </c>
      <c r="Q595" s="450">
        <f>(O546+O547+O551+O552+O556+O575+O577+O581+O582+O583+O584+O586)+$I$595*(O548+O561+O571+O578)</f>
        <v>50126.792692307688</v>
      </c>
      <c r="R595" s="450">
        <f>(P546+P547+P551+P552+P556+P575+P577+P581+P582+P583+P584+P586)+$I$595*(P548+P561+P571+P578)</f>
        <v>64900.922307692308</v>
      </c>
    </row>
    <row r="596" spans="1:18" s="50" customFormat="1" ht="130">
      <c r="A596" s="760">
        <v>3</v>
      </c>
      <c r="B596" s="225" t="s">
        <v>250</v>
      </c>
      <c r="C596" s="226" t="s">
        <v>51</v>
      </c>
      <c r="D596" s="226" t="s">
        <v>31</v>
      </c>
      <c r="E596" s="226" t="s">
        <v>887</v>
      </c>
      <c r="F596" s="374">
        <f>(K546+K547+K551+K552+K556+K563+K575+K577+K581+K582+K583+K584+K586)</f>
        <v>1764236.2980000002</v>
      </c>
      <c r="G596" s="374">
        <f t="shared" ref="G596:H596" si="171">(L546+L547+L551+L552+L556+L563+L575+L577+L581+L582+L583+L584+L586)</f>
        <v>1749036.5640000002</v>
      </c>
      <c r="H596" s="374">
        <f t="shared" si="171"/>
        <v>2265391.2847500006</v>
      </c>
      <c r="I596" s="226">
        <v>0.13</v>
      </c>
      <c r="J596" s="718">
        <f t="shared" ref="J596:J618" si="172">I596*($K$548+$K$561+$K$571+$K$578)</f>
        <v>8248.8119999999999</v>
      </c>
      <c r="K596" s="718">
        <f t="shared" ref="K596:K618" si="173">I596*($L$548+$L$561+$L$571+$L$578)</f>
        <v>4780.5615000000007</v>
      </c>
      <c r="L596" s="718">
        <f t="shared" si="167"/>
        <v>11060.906999999999</v>
      </c>
      <c r="M596" s="127">
        <f t="shared" si="168"/>
        <v>1772485.11</v>
      </c>
      <c r="N596" s="127">
        <f t="shared" si="169"/>
        <v>1753817.1255000003</v>
      </c>
      <c r="O596" s="127">
        <f t="shared" si="170"/>
        <v>2276452.1917500007</v>
      </c>
      <c r="P596" s="450">
        <f>(N546+N547+N551+N552+N556+N563+N575+N577+N581+N582+N583+N584+N586)+$I$596*(N548+N561+N571+N578)</f>
        <v>50375.024615384616</v>
      </c>
      <c r="Q596" s="450">
        <f t="shared" ref="Q596:R596" si="174">(O546+O547+O551+O552+O556+O563+O575+O577+O581+O582+O583+O584+O586)+$I$596*(O548+O561+O571+O578)</f>
        <v>49824.06846153846</v>
      </c>
      <c r="R596" s="450">
        <f t="shared" si="174"/>
        <v>64687.040000000001</v>
      </c>
    </row>
    <row r="597" spans="1:18" s="50" customFormat="1" ht="117">
      <c r="A597" s="764">
        <v>4</v>
      </c>
      <c r="B597" s="225" t="s">
        <v>288</v>
      </c>
      <c r="C597" s="226" t="s">
        <v>51</v>
      </c>
      <c r="D597" s="226" t="s">
        <v>31</v>
      </c>
      <c r="E597" s="226" t="s">
        <v>888</v>
      </c>
      <c r="F597" s="374">
        <f>(K546+K547+K551+K552+K575+K577+K581+K582+K583+K584+K586)</f>
        <v>385408.43549999991</v>
      </c>
      <c r="G597" s="374">
        <f t="shared" ref="G597:H597" si="175">(L546+L547+L551+L552+L575+L577+L581+L582+L583+L584+L586)</f>
        <v>386252.0639999999</v>
      </c>
      <c r="H597" s="374">
        <f t="shared" si="175"/>
        <v>477728.07224999997</v>
      </c>
      <c r="I597" s="226">
        <v>0.152</v>
      </c>
      <c r="J597" s="718">
        <f t="shared" si="172"/>
        <v>9644.764799999999</v>
      </c>
      <c r="K597" s="718">
        <f t="shared" si="173"/>
        <v>5589.5796</v>
      </c>
      <c r="L597" s="718">
        <f t="shared" si="167"/>
        <v>12932.752799999998</v>
      </c>
      <c r="M597" s="127">
        <f t="shared" si="168"/>
        <v>395053.20029999991</v>
      </c>
      <c r="N597" s="127">
        <f t="shared" si="169"/>
        <v>391841.64359999989</v>
      </c>
      <c r="O597" s="127">
        <f t="shared" si="170"/>
        <v>490660.82504999998</v>
      </c>
      <c r="P597" s="450">
        <f>(N546+N547+N551+N552+N575+N577+N581+N582+N583+N584+N586)+$I$597*(N548+N561+N571+N578)</f>
        <v>11003.086769230767</v>
      </c>
      <c r="Q597" s="450">
        <f t="shared" ref="Q597:R597" si="176">(O546+O547+O551+O552+O575+O577+O581+O582+O583+O584+O586)+$I$597*(O548+O561+O571+O578)</f>
        <v>10922.827384615382</v>
      </c>
      <c r="R597" s="450">
        <f t="shared" si="176"/>
        <v>13651.02369230769</v>
      </c>
    </row>
    <row r="598" spans="1:18" s="50" customFormat="1" ht="130">
      <c r="A598" s="760">
        <v>5</v>
      </c>
      <c r="B598" s="225" t="s">
        <v>289</v>
      </c>
      <c r="C598" s="226" t="s">
        <v>51</v>
      </c>
      <c r="D598" s="226" t="s">
        <v>31</v>
      </c>
      <c r="E598" s="226" t="s">
        <v>889</v>
      </c>
      <c r="F598" s="374">
        <f>(K546+K547+K551+K552+K556+K566+K575+K577+K581+K582+K583+K584+K586)</f>
        <v>1759008.6855000001</v>
      </c>
      <c r="G598" s="374">
        <f t="shared" ref="G598:H598" si="177">(L546+L547+L551+L552+L556+L566+L575+L577+L581+L582+L583+L584+L586)</f>
        <v>1759852.3140000002</v>
      </c>
      <c r="H598" s="374">
        <f t="shared" si="177"/>
        <v>2260163.6722500003</v>
      </c>
      <c r="I598" s="226">
        <v>0.39100000000000001</v>
      </c>
      <c r="J598" s="718">
        <f t="shared" si="172"/>
        <v>24809.8884</v>
      </c>
      <c r="K598" s="718">
        <f t="shared" si="173"/>
        <v>14378.458050000001</v>
      </c>
      <c r="L598" s="718">
        <f t="shared" si="167"/>
        <v>33267.804899999996</v>
      </c>
      <c r="M598" s="127">
        <f t="shared" si="168"/>
        <v>1783818.5739000002</v>
      </c>
      <c r="N598" s="127">
        <f t="shared" si="169"/>
        <v>1774230.7720500003</v>
      </c>
      <c r="O598" s="127">
        <f t="shared" si="170"/>
        <v>2293431.4771500002</v>
      </c>
      <c r="P598" s="450">
        <f>(N546+N547+N551+N552+N556+N566+N575+N577+N581+N582+N583+N584+N586)+$I$598*(N548+N561+N571+N578)</f>
        <v>50627.401846153851</v>
      </c>
      <c r="Q598" s="450">
        <f t="shared" ref="Q598:R598" si="178">(O546+O547+O551+O552+O556+O566+O575+O577+O581+O582+O583+O584+O586)+$I$598*(O548+O561+O571+O578)</f>
        <v>50375.044076923077</v>
      </c>
      <c r="R598" s="450">
        <f t="shared" si="178"/>
        <v>65091.801076923075</v>
      </c>
    </row>
    <row r="599" spans="1:18" s="50" customFormat="1" ht="117">
      <c r="A599" s="760">
        <v>6</v>
      </c>
      <c r="B599" s="225" t="s">
        <v>253</v>
      </c>
      <c r="C599" s="226" t="s">
        <v>51</v>
      </c>
      <c r="D599" s="226" t="s">
        <v>31</v>
      </c>
      <c r="E599" s="226" t="s">
        <v>886</v>
      </c>
      <c r="F599" s="374">
        <f>(K546+K547+K551+K552+K556+K571+K575+K577+K581+K582+K583+K584+K586)</f>
        <v>1760090.2605000001</v>
      </c>
      <c r="G599" s="374">
        <f t="shared" ref="G599:H599" si="179">(L546+L547+L551+L552+L556+L571+L575+L577+L581+L582+L583+L584+L586)</f>
        <v>1760933.8890000002</v>
      </c>
      <c r="H599" s="374">
        <f t="shared" si="179"/>
        <v>2261245.2472500005</v>
      </c>
      <c r="I599" s="226">
        <v>0.152</v>
      </c>
      <c r="J599" s="718">
        <f t="shared" si="172"/>
        <v>9644.764799999999</v>
      </c>
      <c r="K599" s="718">
        <f t="shared" si="173"/>
        <v>5589.5796</v>
      </c>
      <c r="L599" s="718">
        <f t="shared" si="167"/>
        <v>12932.752799999998</v>
      </c>
      <c r="M599" s="127">
        <f t="shared" si="168"/>
        <v>1769735.0253000001</v>
      </c>
      <c r="N599" s="127">
        <f t="shared" si="169"/>
        <v>1766523.4686000003</v>
      </c>
      <c r="O599" s="127">
        <f t="shared" si="170"/>
        <v>2274178.0000500004</v>
      </c>
      <c r="P599" s="450">
        <f>(N546+N547+N551+N552+N556+N571+N575+N577+N581+N582+N583+N584+N586)+$I$599*(N548+N561+N571+N578)</f>
        <v>50247.279076923078</v>
      </c>
      <c r="Q599" s="450">
        <f t="shared" ref="Q599:R599" si="180">(O546+O547+O551+O552+O556+O571+O575+O577+O581+O582+O583+O584+O586)+$I$599*(O548+O561+O571+O578)</f>
        <v>50167.019692307687</v>
      </c>
      <c r="R599" s="450">
        <f t="shared" si="180"/>
        <v>64572.139076923078</v>
      </c>
    </row>
    <row r="600" spans="1:18" s="50" customFormat="1" ht="130">
      <c r="A600" s="764">
        <v>7</v>
      </c>
      <c r="B600" s="225" t="s">
        <v>255</v>
      </c>
      <c r="C600" s="226" t="s">
        <v>51</v>
      </c>
      <c r="D600" s="226" t="s">
        <v>31</v>
      </c>
      <c r="E600" s="226" t="s">
        <v>889</v>
      </c>
      <c r="F600" s="374">
        <f>(K546+K547+K551+K552+K556+K566+K575+K577+K581+K582+K583+K584+K586)</f>
        <v>1759008.6855000001</v>
      </c>
      <c r="G600" s="374">
        <f t="shared" ref="G600:H600" si="181">(L546+L547+L551+L552+L556+L566+L575+L577+L581+L582+L583+L584+L586)</f>
        <v>1759852.3140000002</v>
      </c>
      <c r="H600" s="374">
        <f t="shared" si="181"/>
        <v>2260163.6722500003</v>
      </c>
      <c r="I600" s="226">
        <v>0.32600000000000001</v>
      </c>
      <c r="J600" s="718">
        <f t="shared" si="172"/>
        <v>20685.482399999997</v>
      </c>
      <c r="K600" s="718">
        <f t="shared" si="173"/>
        <v>11988.177300000001</v>
      </c>
      <c r="L600" s="718">
        <f t="shared" si="167"/>
        <v>27737.3514</v>
      </c>
      <c r="M600" s="127">
        <f t="shared" si="168"/>
        <v>1779694.1679000002</v>
      </c>
      <c r="N600" s="127">
        <f t="shared" si="169"/>
        <v>1771840.4913000003</v>
      </c>
      <c r="O600" s="127">
        <f t="shared" si="170"/>
        <v>2287901.0236500003</v>
      </c>
      <c r="P600" s="450">
        <f>(N546+N547+N551+N552+N556+N566+N575+N577+N581+N582+N583+N584+N586)+$I$600*(N548+N561+N571+N578)</f>
        <v>50516.081846153851</v>
      </c>
      <c r="Q600" s="450">
        <f t="shared" ref="Q600:R600" si="182">(O546+O547+O551+O552+O556+O566+O575+O577+O581+O582+O583+O584+O586)+$I$600*(O548+O561+O571+O578)</f>
        <v>50310.529076923078</v>
      </c>
      <c r="R600" s="450">
        <f t="shared" si="182"/>
        <v>64942.531076923078</v>
      </c>
    </row>
    <row r="601" spans="1:18" s="50" customFormat="1" ht="130">
      <c r="A601" s="760">
        <v>8</v>
      </c>
      <c r="B601" s="225" t="s">
        <v>258</v>
      </c>
      <c r="C601" s="226" t="s">
        <v>51</v>
      </c>
      <c r="D601" s="226" t="s">
        <v>31</v>
      </c>
      <c r="E601" s="226" t="s">
        <v>889</v>
      </c>
      <c r="F601" s="374">
        <f>(K546+K547+K551+K552+K556+K566+K575+K577+K581+K582+K583+K584+K586)</f>
        <v>1759008.6855000001</v>
      </c>
      <c r="G601" s="374">
        <f t="shared" ref="G601:H601" si="183">(L546+L547+L551+L552+L556+L566+L575+L577+L581+L582+L583+L584+L586)</f>
        <v>1759852.3140000002</v>
      </c>
      <c r="H601" s="374">
        <f t="shared" si="183"/>
        <v>2260163.6722500003</v>
      </c>
      <c r="I601" s="371">
        <v>0.37</v>
      </c>
      <c r="J601" s="718">
        <f t="shared" si="172"/>
        <v>23477.387999999999</v>
      </c>
      <c r="K601" s="718">
        <f t="shared" si="173"/>
        <v>13606.213500000002</v>
      </c>
      <c r="L601" s="718">
        <f t="shared" si="167"/>
        <v>31481.042999999998</v>
      </c>
      <c r="M601" s="127">
        <f t="shared" ref="M601:M609" si="184">F601+J601</f>
        <v>1782486.0735000002</v>
      </c>
      <c r="N601" s="127">
        <f t="shared" si="169"/>
        <v>1773458.5275000003</v>
      </c>
      <c r="O601" s="127">
        <f t="shared" si="170"/>
        <v>2291644.7152500004</v>
      </c>
      <c r="P601" s="450">
        <f>(N546+N547+N551+N552+N556+N566+N575+N577+N581+N582+N583+N584+N586)+$I$601*(N548+N561+N571+N578)</f>
        <v>50591.43692307693</v>
      </c>
      <c r="Q601" s="450">
        <f t="shared" ref="Q601:R601" si="185">(O546+O547+O551+O552+O556+O566+O575+O577+O581+O582+O583+O584+O586)+$I$601*(O548+O561+O571+O578)</f>
        <v>50354.200769230767</v>
      </c>
      <c r="R601" s="450">
        <f t="shared" si="185"/>
        <v>65043.575384615389</v>
      </c>
    </row>
    <row r="602" spans="1:18" s="50" customFormat="1" ht="130">
      <c r="A602" s="760">
        <v>9</v>
      </c>
      <c r="B602" s="225" t="s">
        <v>259</v>
      </c>
      <c r="C602" s="226" t="s">
        <v>51</v>
      </c>
      <c r="D602" s="226" t="s">
        <v>31</v>
      </c>
      <c r="E602" s="226" t="s">
        <v>889</v>
      </c>
      <c r="F602" s="374">
        <f>(K546+K547+K551+K552+K556+K566+K575+K577+K581+K582+K583+K584+K586)</f>
        <v>1759008.6855000001</v>
      </c>
      <c r="G602" s="374">
        <f t="shared" ref="G602:H602" si="186">(L546+L547+L551+L552+L556+L566+L575+L577+L581+L582+L583+L584+L586)</f>
        <v>1759852.3140000002</v>
      </c>
      <c r="H602" s="374">
        <f t="shared" si="186"/>
        <v>2260163.6722500003</v>
      </c>
      <c r="I602" s="226">
        <v>0.34799999999999998</v>
      </c>
      <c r="J602" s="718">
        <f t="shared" si="172"/>
        <v>22081.435199999996</v>
      </c>
      <c r="K602" s="718">
        <f t="shared" si="173"/>
        <v>12797.195400000001</v>
      </c>
      <c r="L602" s="718">
        <f t="shared" si="167"/>
        <v>29609.197199999995</v>
      </c>
      <c r="M602" s="127">
        <f t="shared" si="184"/>
        <v>1781090.1207000001</v>
      </c>
      <c r="N602" s="127">
        <f t="shared" si="169"/>
        <v>1772649.5094000003</v>
      </c>
      <c r="O602" s="127">
        <f t="shared" si="170"/>
        <v>2289772.8694500001</v>
      </c>
      <c r="P602" s="450">
        <f>(N546+N547+N551+N552+N556+N566+N575+N577+N581+N582+N583+N584+N586)+$I$602*(N548+N561+N571+N578)</f>
        <v>50553.75938461539</v>
      </c>
      <c r="Q602" s="450">
        <f t="shared" ref="Q602:R602" si="187">(O546+O547+O551+O552+O556+O566+O575+O577+O581+O582+O583+O584+O586)+$I$602*(O548+O561+O571+O578)</f>
        <v>50332.364923076922</v>
      </c>
      <c r="R602" s="450">
        <f t="shared" si="187"/>
        <v>64993.053230769234</v>
      </c>
    </row>
    <row r="603" spans="1:18" s="50" customFormat="1" ht="130">
      <c r="A603" s="764">
        <v>10</v>
      </c>
      <c r="B603" s="225" t="s">
        <v>260</v>
      </c>
      <c r="C603" s="226" t="s">
        <v>51</v>
      </c>
      <c r="D603" s="226" t="s">
        <v>31</v>
      </c>
      <c r="E603" s="226" t="s">
        <v>889</v>
      </c>
      <c r="F603" s="374">
        <f>(K546+K547+K551+K552+K556+K566+K575+K577+K581+K582+K583+K584+K586)</f>
        <v>1759008.6855000001</v>
      </c>
      <c r="G603" s="374">
        <f t="shared" ref="G603:H603" si="188">(L546+L547+L551+L552+L556+L566+L575+L577+L581+L582+L583+L584+L586)</f>
        <v>1759852.3140000002</v>
      </c>
      <c r="H603" s="374">
        <f t="shared" si="188"/>
        <v>2260163.6722500003</v>
      </c>
      <c r="I603" s="226">
        <v>0.37</v>
      </c>
      <c r="J603" s="718">
        <f t="shared" si="172"/>
        <v>23477.387999999999</v>
      </c>
      <c r="K603" s="718">
        <f t="shared" si="173"/>
        <v>13606.213500000002</v>
      </c>
      <c r="L603" s="718">
        <f t="shared" si="167"/>
        <v>31481.042999999998</v>
      </c>
      <c r="M603" s="127">
        <f t="shared" si="184"/>
        <v>1782486.0735000002</v>
      </c>
      <c r="N603" s="127">
        <f t="shared" si="169"/>
        <v>1773458.5275000003</v>
      </c>
      <c r="O603" s="127">
        <f t="shared" si="170"/>
        <v>2291644.7152500004</v>
      </c>
      <c r="P603" s="450">
        <f>(N546+N547+N551+N552+N556+N566+N575+N577+N581+N582+N583+N584+N586)+$I$603*(N548+N561+N571+N578)</f>
        <v>50591.43692307693</v>
      </c>
      <c r="Q603" s="450">
        <f t="shared" ref="Q603:R603" si="189">(O546+O547+O551+O552+O556+O566+O575+O577+O581+O582+O583+O584+O586)+$I$603*(O548+O561+O571+O578)</f>
        <v>50354.200769230767</v>
      </c>
      <c r="R603" s="450">
        <f t="shared" si="189"/>
        <v>65043.575384615389</v>
      </c>
    </row>
    <row r="604" spans="1:18" s="50" customFormat="1" ht="130">
      <c r="A604" s="760">
        <v>11</v>
      </c>
      <c r="B604" s="225" t="s">
        <v>261</v>
      </c>
      <c r="C604" s="226" t="s">
        <v>51</v>
      </c>
      <c r="D604" s="226" t="s">
        <v>31</v>
      </c>
      <c r="E604" s="226" t="s">
        <v>889</v>
      </c>
      <c r="F604" s="374">
        <f>(K546+K547+K551+K552+K556+K566+K575+K577+K581+K582+K583+K584+K586)</f>
        <v>1759008.6855000001</v>
      </c>
      <c r="G604" s="374">
        <f t="shared" ref="G604:H604" si="190">(L546+L547+L551+L552+L556+L566+L575+L577+L581+L582+L583+L584+L586)</f>
        <v>1759852.3140000002</v>
      </c>
      <c r="H604" s="374">
        <f t="shared" si="190"/>
        <v>2260163.6722500003</v>
      </c>
      <c r="I604" s="226">
        <v>0.32600000000000001</v>
      </c>
      <c r="J604" s="718">
        <f t="shared" si="172"/>
        <v>20685.482399999997</v>
      </c>
      <c r="K604" s="718">
        <f t="shared" si="173"/>
        <v>11988.177300000001</v>
      </c>
      <c r="L604" s="718">
        <f t="shared" si="167"/>
        <v>27737.3514</v>
      </c>
      <c r="M604" s="127">
        <f t="shared" si="184"/>
        <v>1779694.1679000002</v>
      </c>
      <c r="N604" s="127">
        <f t="shared" si="169"/>
        <v>1771840.4913000003</v>
      </c>
      <c r="O604" s="127">
        <f t="shared" si="170"/>
        <v>2287901.0236500003</v>
      </c>
      <c r="P604" s="450">
        <f>(N546+N547+N551+N552+N556+N566+N575+N577+N581+N582+N583+N584+N586)+$I$604*(N548+N561+N571+N578)</f>
        <v>50516.081846153851</v>
      </c>
      <c r="Q604" s="450">
        <f t="shared" ref="Q604:R604" si="191">(O546+O547+O551+O552+O556+O566+O575+O577+O581+O582+O583+O584+O586)+$I$604*(O548+O561+O571+O578)</f>
        <v>50310.529076923078</v>
      </c>
      <c r="R604" s="450">
        <f t="shared" si="191"/>
        <v>64942.531076923078</v>
      </c>
    </row>
    <row r="605" spans="1:18" s="50" customFormat="1" ht="130">
      <c r="A605" s="760">
        <v>12</v>
      </c>
      <c r="B605" s="225" t="s">
        <v>262</v>
      </c>
      <c r="C605" s="226" t="s">
        <v>51</v>
      </c>
      <c r="D605" s="226" t="s">
        <v>31</v>
      </c>
      <c r="E605" s="226" t="s">
        <v>889</v>
      </c>
      <c r="F605" s="374">
        <f>(K546+K547+K551+K552+K556+K566+K575+K577+K581+K582+K583+K584+K586)</f>
        <v>1759008.6855000001</v>
      </c>
      <c r="G605" s="374">
        <f t="shared" ref="G605:H605" si="192">(L546+L547+L551+L552+L556+L566+L575+L577+L581+L582+L583+L584+L586)</f>
        <v>1759852.3140000002</v>
      </c>
      <c r="H605" s="374">
        <f t="shared" si="192"/>
        <v>2260163.6722500003</v>
      </c>
      <c r="I605" s="226">
        <v>0.32600000000000001</v>
      </c>
      <c r="J605" s="718">
        <f t="shared" si="172"/>
        <v>20685.482399999997</v>
      </c>
      <c r="K605" s="718">
        <f t="shared" si="173"/>
        <v>11988.177300000001</v>
      </c>
      <c r="L605" s="718">
        <f t="shared" si="167"/>
        <v>27737.3514</v>
      </c>
      <c r="M605" s="127">
        <f t="shared" si="184"/>
        <v>1779694.1679000002</v>
      </c>
      <c r="N605" s="127">
        <f t="shared" si="169"/>
        <v>1771840.4913000003</v>
      </c>
      <c r="O605" s="127">
        <f t="shared" si="170"/>
        <v>2287901.0236500003</v>
      </c>
      <c r="P605" s="450">
        <f>(N546+N547+N551+N552+N556+N566+N575+N577+N581+N582+N583+N584+N586)+$I$605*(N548+N561+N571+N578)</f>
        <v>50516.081846153851</v>
      </c>
      <c r="Q605" s="450">
        <f t="shared" ref="Q605:R605" si="193">(O546+O547+O551+O552+O556+O566+O575+O577+O581+O582+O583+O584+O586)+$I$605*(O548+O561+O571+O578)</f>
        <v>50310.529076923078</v>
      </c>
      <c r="R605" s="450">
        <f t="shared" si="193"/>
        <v>64942.531076923078</v>
      </c>
    </row>
    <row r="606" spans="1:18" s="50" customFormat="1" ht="130">
      <c r="A606" s="764">
        <v>13</v>
      </c>
      <c r="B606" s="225" t="s">
        <v>263</v>
      </c>
      <c r="C606" s="226" t="s">
        <v>51</v>
      </c>
      <c r="D606" s="226" t="s">
        <v>31</v>
      </c>
      <c r="E606" s="226" t="s">
        <v>889</v>
      </c>
      <c r="F606" s="374">
        <f>(K546+K547+K551+K552+K556+K566+K575+K577+K581+K582+K583+K584+K586)</f>
        <v>1759008.6855000001</v>
      </c>
      <c r="G606" s="374">
        <f t="shared" ref="G606:H606" si="194">(L546+L547+L551+L552+L556+L566+L575+L577+L581+L582+L583+L584+L586)</f>
        <v>1759852.3140000002</v>
      </c>
      <c r="H606" s="374">
        <f t="shared" si="194"/>
        <v>2260163.6722500003</v>
      </c>
      <c r="I606" s="226">
        <v>0.32600000000000001</v>
      </c>
      <c r="J606" s="718">
        <f t="shared" si="172"/>
        <v>20685.482399999997</v>
      </c>
      <c r="K606" s="718">
        <f t="shared" si="173"/>
        <v>11988.177300000001</v>
      </c>
      <c r="L606" s="718">
        <f t="shared" si="167"/>
        <v>27737.3514</v>
      </c>
      <c r="M606" s="127">
        <f t="shared" si="184"/>
        <v>1779694.1679000002</v>
      </c>
      <c r="N606" s="127">
        <f t="shared" si="169"/>
        <v>1771840.4913000003</v>
      </c>
      <c r="O606" s="127">
        <f t="shared" si="170"/>
        <v>2287901.0236500003</v>
      </c>
      <c r="P606" s="450">
        <f>(N546+N547+N551+N552+N556+N566+N575+N577+N581+N582+N583+N584+N586)+$I$606*(N548+N561+N571+N578)</f>
        <v>50516.081846153851</v>
      </c>
      <c r="Q606" s="450">
        <f t="shared" ref="Q606:R606" si="195">(O546+O547+O551+O552+O556+O566+O575+O577+O581+O582+O583+O584+O586)+$I$606*(O548+O561+O571+O578)</f>
        <v>50310.529076923078</v>
      </c>
      <c r="R606" s="450">
        <f t="shared" si="195"/>
        <v>64942.531076923078</v>
      </c>
    </row>
    <row r="607" spans="1:18" s="50" customFormat="1" ht="130">
      <c r="A607" s="760">
        <v>14</v>
      </c>
      <c r="B607" s="225" t="s">
        <v>265</v>
      </c>
      <c r="C607" s="226" t="s">
        <v>51</v>
      </c>
      <c r="D607" s="226" t="s">
        <v>31</v>
      </c>
      <c r="E607" s="226" t="s">
        <v>889</v>
      </c>
      <c r="F607" s="374">
        <f>(K546+K547+K551+K552+K556+K566+K575+K577+K581+K582+K583+K584+K586)</f>
        <v>1759008.6855000001</v>
      </c>
      <c r="G607" s="374">
        <f t="shared" ref="G607:H607" si="196">(L546+L547+L551+L552+L556+L566+L575+L577+L581+L582+L583+L584+L586)</f>
        <v>1759852.3140000002</v>
      </c>
      <c r="H607" s="374">
        <f t="shared" si="196"/>
        <v>2260163.6722500003</v>
      </c>
      <c r="I607" s="226">
        <v>0.32600000000000001</v>
      </c>
      <c r="J607" s="718">
        <f t="shared" si="172"/>
        <v>20685.482399999997</v>
      </c>
      <c r="K607" s="718">
        <f t="shared" si="173"/>
        <v>11988.177300000001</v>
      </c>
      <c r="L607" s="718">
        <f t="shared" si="167"/>
        <v>27737.3514</v>
      </c>
      <c r="M607" s="127">
        <f t="shared" si="184"/>
        <v>1779694.1679000002</v>
      </c>
      <c r="N607" s="127">
        <f t="shared" si="169"/>
        <v>1771840.4913000003</v>
      </c>
      <c r="O607" s="127">
        <f t="shared" si="170"/>
        <v>2287901.0236500003</v>
      </c>
      <c r="P607" s="450">
        <f>(N546+N547+N551+N552+N556+N566+N575+N577+N581+N582+N583+N584+N586)+$I$607*(N548+N561+N571+N578)</f>
        <v>50516.081846153851</v>
      </c>
      <c r="Q607" s="450">
        <f t="shared" ref="Q607:R607" si="197">(O546+O547+O551+O552+O556+O566+O575+O577+O581+O582+O583+O584+O586)+$I$607*(O548+O561+O571+O578)</f>
        <v>50310.529076923078</v>
      </c>
      <c r="R607" s="450">
        <f t="shared" si="197"/>
        <v>64942.531076923078</v>
      </c>
    </row>
    <row r="608" spans="1:18" s="50" customFormat="1" ht="130">
      <c r="A608" s="760">
        <v>15</v>
      </c>
      <c r="B608" s="225" t="s">
        <v>290</v>
      </c>
      <c r="C608" s="226" t="s">
        <v>51</v>
      </c>
      <c r="D608" s="226" t="s">
        <v>31</v>
      </c>
      <c r="E608" s="226" t="s">
        <v>889</v>
      </c>
      <c r="F608" s="374">
        <f>(K546+K547+K551+K552+K556+K566+K575+K577+K581+K582+K583+K584+K586)</f>
        <v>1759008.6855000001</v>
      </c>
      <c r="G608" s="374">
        <f t="shared" ref="G608:H608" si="198">(L546+L547+L551+L552+L556+L566+L575+L577+L581+L582+L583+L584+L586)</f>
        <v>1759852.3140000002</v>
      </c>
      <c r="H608" s="374">
        <f t="shared" si="198"/>
        <v>2260163.6722500003</v>
      </c>
      <c r="I608" s="226">
        <v>0.32600000000000001</v>
      </c>
      <c r="J608" s="718">
        <f t="shared" si="172"/>
        <v>20685.482399999997</v>
      </c>
      <c r="K608" s="718">
        <f t="shared" si="173"/>
        <v>11988.177300000001</v>
      </c>
      <c r="L608" s="718">
        <f t="shared" si="167"/>
        <v>27737.3514</v>
      </c>
      <c r="M608" s="127">
        <f t="shared" si="184"/>
        <v>1779694.1679000002</v>
      </c>
      <c r="N608" s="127">
        <f t="shared" si="169"/>
        <v>1771840.4913000003</v>
      </c>
      <c r="O608" s="127">
        <f t="shared" si="170"/>
        <v>2287901.0236500003</v>
      </c>
      <c r="P608" s="450">
        <f>(N546+N547+N551+N552+N556+N566+N575+N577+N581+N582+N583+N584+N586)+$I$608*(N548+N561+N571+N578)</f>
        <v>50516.081846153851</v>
      </c>
      <c r="Q608" s="450">
        <f t="shared" ref="Q608:R608" si="199">(O546+O547+O551+O552+O556+O566+O575+O577+O581+O582+O583+O584+O586)+$I$608*(O548+O561+O571+O578)</f>
        <v>50310.529076923078</v>
      </c>
      <c r="R608" s="450">
        <f t="shared" si="199"/>
        <v>64942.531076923078</v>
      </c>
    </row>
    <row r="609" spans="1:18" s="50" customFormat="1" ht="130">
      <c r="A609" s="764">
        <v>16</v>
      </c>
      <c r="B609" s="225" t="s">
        <v>291</v>
      </c>
      <c r="C609" s="226" t="s">
        <v>51</v>
      </c>
      <c r="D609" s="226" t="s">
        <v>31</v>
      </c>
      <c r="E609" s="226" t="s">
        <v>889</v>
      </c>
      <c r="F609" s="374">
        <f>(K546+K547+K551+K552+K556+K566+K575+K577+K581+K582+K583+K584+K586)</f>
        <v>1759008.6855000001</v>
      </c>
      <c r="G609" s="374">
        <f t="shared" ref="G609:H609" si="200">(L546+L547+L551+L552+L556+L566+L575+L577+L581+L582+L583+L584+L586)</f>
        <v>1759852.3140000002</v>
      </c>
      <c r="H609" s="374">
        <f t="shared" si="200"/>
        <v>2260163.6722500003</v>
      </c>
      <c r="I609" s="226">
        <v>0.17399999999999999</v>
      </c>
      <c r="J609" s="718">
        <f t="shared" si="172"/>
        <v>11040.717599999998</v>
      </c>
      <c r="K609" s="718">
        <f t="shared" si="173"/>
        <v>6398.5977000000003</v>
      </c>
      <c r="L609" s="718">
        <f t="shared" si="167"/>
        <v>14804.598599999998</v>
      </c>
      <c r="M609" s="127">
        <f t="shared" si="184"/>
        <v>1770049.4031000002</v>
      </c>
      <c r="N609" s="127">
        <f t="shared" si="169"/>
        <v>1766250.9117000003</v>
      </c>
      <c r="O609" s="127">
        <f t="shared" si="170"/>
        <v>2274968.2708500004</v>
      </c>
      <c r="P609" s="450">
        <f>(N546+N547+N551+N552+N556+N566+N575+N577+N581+N582+N583+N584+N586)+$I$609*(N548+N561+N571+N578)</f>
        <v>50255.764307692312</v>
      </c>
      <c r="Q609" s="450">
        <f t="shared" ref="Q609:R609" si="201">(O546+O547+O551+O552+O556+O566+O575+O577+O581+O582+O583+O584+O586)+$I$609*(O548+O561+O571+O578)</f>
        <v>50159.663230769234</v>
      </c>
      <c r="R609" s="450">
        <f t="shared" si="201"/>
        <v>64593.468923076922</v>
      </c>
    </row>
    <row r="610" spans="1:18" s="50" customFormat="1" ht="130">
      <c r="A610" s="760">
        <v>17</v>
      </c>
      <c r="B610" s="225" t="s">
        <v>292</v>
      </c>
      <c r="C610" s="226" t="s">
        <v>51</v>
      </c>
      <c r="D610" s="226" t="s">
        <v>31</v>
      </c>
      <c r="E610" s="226" t="s">
        <v>889</v>
      </c>
      <c r="F610" s="374">
        <f>(K546+K547+K551+K552+K556+K566+K575+K577+K581+K582+K583+K584+K586)</f>
        <v>1759008.6855000001</v>
      </c>
      <c r="G610" s="374">
        <f t="shared" ref="G610:H610" si="202">(L546+L547+L551+L552+L556+L566+L575+L577+L581+L582+L583+L584+L586)</f>
        <v>1759852.3140000002</v>
      </c>
      <c r="H610" s="374">
        <f t="shared" si="202"/>
        <v>2260163.6722500003</v>
      </c>
      <c r="I610" s="226">
        <v>0.34799999999999998</v>
      </c>
      <c r="J610" s="718">
        <f t="shared" si="172"/>
        <v>22081.435199999996</v>
      </c>
      <c r="K610" s="718">
        <f t="shared" si="173"/>
        <v>12797.195400000001</v>
      </c>
      <c r="L610" s="718">
        <f t="shared" si="167"/>
        <v>29609.197199999995</v>
      </c>
      <c r="M610" s="127">
        <f>F610+J610</f>
        <v>1781090.1207000001</v>
      </c>
      <c r="N610" s="127">
        <f t="shared" si="169"/>
        <v>1772649.5094000003</v>
      </c>
      <c r="O610" s="127">
        <f t="shared" si="170"/>
        <v>2289772.8694500001</v>
      </c>
      <c r="P610" s="450">
        <f>(N546+N547+N551+N552+N556+N566+N575+N577+N581+N582+N583+N584+N586)+$I$610*(N548+N561+N571+N578)</f>
        <v>50553.75938461539</v>
      </c>
      <c r="Q610" s="450">
        <f t="shared" ref="Q610:R610" si="203">(O546+O547+O551+O552+O556+O566+O575+O577+O581+O582+O583+O584+O586)+$I$610*(O548+O561+O571+O578)</f>
        <v>50332.364923076922</v>
      </c>
      <c r="R610" s="450">
        <f t="shared" si="203"/>
        <v>64993.053230769234</v>
      </c>
    </row>
    <row r="611" spans="1:18" s="50" customFormat="1" ht="130">
      <c r="A611" s="760">
        <v>18</v>
      </c>
      <c r="B611" s="225" t="s">
        <v>270</v>
      </c>
      <c r="C611" s="226" t="s">
        <v>51</v>
      </c>
      <c r="D611" s="226" t="s">
        <v>31</v>
      </c>
      <c r="E611" s="226" t="s">
        <v>889</v>
      </c>
      <c r="F611" s="374">
        <f>(K546+K547+K551+K552+K556+K566+K575+K577+K581+K582+K583+K584+K586)</f>
        <v>1759008.6855000001</v>
      </c>
      <c r="G611" s="374">
        <f t="shared" ref="G611:H611" si="204">(L546+L547+L551+L552+L556+L566+L575+L577+L581+L582+L583+L584+L586)</f>
        <v>1759852.3140000002</v>
      </c>
      <c r="H611" s="374">
        <f t="shared" si="204"/>
        <v>2260163.6722500003</v>
      </c>
      <c r="I611" s="226">
        <v>0.23899999999999999</v>
      </c>
      <c r="J611" s="718">
        <f t="shared" si="172"/>
        <v>15165.123599999997</v>
      </c>
      <c r="K611" s="718">
        <f t="shared" si="173"/>
        <v>8788.8784500000002</v>
      </c>
      <c r="L611" s="718">
        <f t="shared" si="167"/>
        <v>20335.052099999997</v>
      </c>
      <c r="M611" s="127">
        <f>F611+J611</f>
        <v>1774173.8091000002</v>
      </c>
      <c r="N611" s="127">
        <f t="shared" si="169"/>
        <v>1768641.1924500002</v>
      </c>
      <c r="O611" s="127">
        <f t="shared" si="170"/>
        <v>2280498.7243500003</v>
      </c>
      <c r="P611" s="450">
        <f>(N546+N547+N551+N552+N556+N566+N575+N577+N581+N582+N583+N584+N586)+$I$611*(N548+N561+N571+N578)</f>
        <v>50367.084307692312</v>
      </c>
      <c r="Q611" s="450">
        <f t="shared" ref="Q611:R611" si="205">(O546+O547+O551+O552+O556+O566+O575+O577+O581+O582+O583+O584+O586)+$I$611*(O548+O561+O571+O578)</f>
        <v>50224.178230769234</v>
      </c>
      <c r="R611" s="450">
        <f t="shared" si="205"/>
        <v>64742.738923076926</v>
      </c>
    </row>
    <row r="612" spans="1:18" s="50" customFormat="1" ht="130">
      <c r="A612" s="764">
        <v>19</v>
      </c>
      <c r="B612" s="225" t="s">
        <v>272</v>
      </c>
      <c r="C612" s="226" t="s">
        <v>51</v>
      </c>
      <c r="D612" s="226" t="s">
        <v>31</v>
      </c>
      <c r="E612" s="226" t="s">
        <v>890</v>
      </c>
      <c r="F612" s="374">
        <f>(K546+K547+K551+K552+K556+K566+K575+K577+K581+K582+K583+K584+K586)</f>
        <v>1759008.6855000001</v>
      </c>
      <c r="G612" s="374">
        <f t="shared" ref="G612:H612" si="206">(L546+L547+L551+L552+L556+L566+L575+L577+L581+L582+L583+L584+L586)</f>
        <v>1759852.3140000002</v>
      </c>
      <c r="H612" s="374">
        <f t="shared" si="206"/>
        <v>2260163.6722500003</v>
      </c>
      <c r="I612" s="226">
        <v>0.47799999999999998</v>
      </c>
      <c r="J612" s="718">
        <f t="shared" si="172"/>
        <v>30330.247199999994</v>
      </c>
      <c r="K612" s="718">
        <f t="shared" si="173"/>
        <v>17577.7569</v>
      </c>
      <c r="L612" s="718">
        <f t="shared" si="167"/>
        <v>40670.104199999994</v>
      </c>
      <c r="M612" s="127">
        <f>F612+J612</f>
        <v>1789338.9327000002</v>
      </c>
      <c r="N612" s="127">
        <f t="shared" si="169"/>
        <v>1777430.0709000002</v>
      </c>
      <c r="O612" s="127">
        <f t="shared" si="170"/>
        <v>2300833.7764500002</v>
      </c>
      <c r="P612" s="450">
        <f>(N546+N547+N551+N552+N556+N566+N575+N577+N581+N582+N583+N584+N586)+$I$612*(N548+N561+N571+N578)</f>
        <v>50776.39938461539</v>
      </c>
      <c r="Q612" s="450">
        <f t="shared" ref="Q612:R612" si="207">(O546+O547+O551+O552+O556+O566+O575+O577+O581+O582+O583+O584+O586)+$I$612*(O548+O561+O571+O578)</f>
        <v>50461.394923076921</v>
      </c>
      <c r="R612" s="450">
        <f t="shared" si="207"/>
        <v>65291.593230769235</v>
      </c>
    </row>
    <row r="613" spans="1:18" s="50" customFormat="1" ht="130">
      <c r="A613" s="760">
        <v>20</v>
      </c>
      <c r="B613" s="225" t="s">
        <v>293</v>
      </c>
      <c r="C613" s="226" t="s">
        <v>51</v>
      </c>
      <c r="D613" s="226" t="s">
        <v>31</v>
      </c>
      <c r="E613" s="226" t="s">
        <v>890</v>
      </c>
      <c r="F613" s="374">
        <f>(K546+K547+K551+K552+K556+K566+K575+K577+K581+K582+K583+K584+K586)</f>
        <v>1759008.6855000001</v>
      </c>
      <c r="G613" s="374">
        <f t="shared" ref="G613:H613" si="208">(L546+L547+L551+L552+L556+L566+L575+L577+L581+L582+L583+L584+L586)</f>
        <v>1759852.3140000002</v>
      </c>
      <c r="H613" s="374">
        <f t="shared" si="208"/>
        <v>2260163.6722500003</v>
      </c>
      <c r="I613" s="226">
        <v>0.23899999999999999</v>
      </c>
      <c r="J613" s="718">
        <f t="shared" si="172"/>
        <v>15165.123599999997</v>
      </c>
      <c r="K613" s="718">
        <f t="shared" si="173"/>
        <v>8788.8784500000002</v>
      </c>
      <c r="L613" s="718">
        <f t="shared" si="167"/>
        <v>20335.052099999997</v>
      </c>
      <c r="M613" s="127">
        <f>F613+J613</f>
        <v>1774173.8091000002</v>
      </c>
      <c r="N613" s="127">
        <f t="shared" si="169"/>
        <v>1768641.1924500002</v>
      </c>
      <c r="O613" s="127">
        <f t="shared" si="170"/>
        <v>2280498.7243500003</v>
      </c>
      <c r="P613" s="450">
        <f>(N546+N547+N551+N552+N556+N566+N575+N577+N581+N582+N583+N584+N586)+$I$613*(N548+N561+N571+N578)</f>
        <v>50367.084307692312</v>
      </c>
      <c r="Q613" s="450">
        <f t="shared" ref="Q613:R613" si="209">(O546+O547+O551+O552+O556+O566+O575+O577+O581+O582+O583+O584+O586)+$I$613*(O548+O561+O571+O578)</f>
        <v>50224.178230769234</v>
      </c>
      <c r="R613" s="450">
        <f t="shared" si="209"/>
        <v>64742.738923076926</v>
      </c>
    </row>
    <row r="614" spans="1:18" s="50" customFormat="1" ht="130">
      <c r="A614" s="760">
        <v>21</v>
      </c>
      <c r="B614" s="225" t="s">
        <v>276</v>
      </c>
      <c r="C614" s="226" t="s">
        <v>51</v>
      </c>
      <c r="D614" s="226" t="s">
        <v>31</v>
      </c>
      <c r="E614" s="226" t="s">
        <v>889</v>
      </c>
      <c r="F614" s="374">
        <f>(K546+K547+K551+K552+K556+K566+K575+K577+K581+K582+K583+K584+K586)</f>
        <v>1759008.6855000001</v>
      </c>
      <c r="G614" s="374">
        <f t="shared" ref="G614:H614" si="210">(L546+L547+L551+L552+L556+L566+L575+L577+L581+L582+L583+L584+L586)</f>
        <v>1759852.3140000002</v>
      </c>
      <c r="H614" s="374">
        <f t="shared" si="210"/>
        <v>2260163.6722500003</v>
      </c>
      <c r="I614" s="226">
        <v>0.30399999999999999</v>
      </c>
      <c r="J614" s="718">
        <f t="shared" si="172"/>
        <v>19289.529599999998</v>
      </c>
      <c r="K614" s="718">
        <f t="shared" si="173"/>
        <v>11179.1592</v>
      </c>
      <c r="L614" s="718">
        <f t="shared" si="167"/>
        <v>25865.505599999997</v>
      </c>
      <c r="M614" s="127">
        <f t="shared" ref="M614:M618" si="211">F614+J614</f>
        <v>1778298.2151000001</v>
      </c>
      <c r="N614" s="127">
        <f t="shared" si="169"/>
        <v>1771031.4732000004</v>
      </c>
      <c r="O614" s="127">
        <f t="shared" si="170"/>
        <v>2286029.1778500001</v>
      </c>
      <c r="P614" s="450">
        <f>(N546+N547+N551+N552+N556+N566+N575+N577+N581+N582+N583+N584+N586)+$I$614*(N548+N561+N571+N578)</f>
        <v>50478.404307692312</v>
      </c>
      <c r="Q614" s="450">
        <f t="shared" ref="Q614:R614" si="212">(O546+O547+O551+O552+O556+O566+O575+O577+O581+O582+O583+O584+O586)+$I$614*(O548+O561+O571+O578)</f>
        <v>50288.693230769233</v>
      </c>
      <c r="R614" s="450">
        <f t="shared" si="212"/>
        <v>64892.008923076923</v>
      </c>
    </row>
    <row r="615" spans="1:18" s="50" customFormat="1" ht="130">
      <c r="A615" s="764">
        <v>22</v>
      </c>
      <c r="B615" s="225" t="s">
        <v>278</v>
      </c>
      <c r="C615" s="226" t="s">
        <v>51</v>
      </c>
      <c r="D615" s="226" t="s">
        <v>31</v>
      </c>
      <c r="E615" s="226" t="s">
        <v>889</v>
      </c>
      <c r="F615" s="374">
        <f>(K546+K547+K551+K552+K556+K566+K575+K577+K581+K582+K583+K584+K586)</f>
        <v>1759008.6855000001</v>
      </c>
      <c r="G615" s="374">
        <f t="shared" ref="G615:H615" si="213">(L546+L547+L551+L552+L556+L566+L575+L577+L581+L582+L583+L584+L586)</f>
        <v>1759852.3140000002</v>
      </c>
      <c r="H615" s="374">
        <f t="shared" si="213"/>
        <v>2260163.6722500003</v>
      </c>
      <c r="I615" s="226">
        <v>0.56499999999999995</v>
      </c>
      <c r="J615" s="718">
        <f t="shared" si="172"/>
        <v>35850.605999999992</v>
      </c>
      <c r="K615" s="718">
        <f t="shared" si="173"/>
        <v>20777.05575</v>
      </c>
      <c r="L615" s="718">
        <f t="shared" si="167"/>
        <v>48072.403499999993</v>
      </c>
      <c r="M615" s="127">
        <f t="shared" si="211"/>
        <v>1794859.2915000001</v>
      </c>
      <c r="N615" s="127">
        <f t="shared" si="169"/>
        <v>1780629.3697500003</v>
      </c>
      <c r="O615" s="127">
        <f t="shared" si="170"/>
        <v>2308236.0757500003</v>
      </c>
      <c r="P615" s="450">
        <f>(N546+N547+N551+N552+N556+N566+N575+N577+N581+N582+N583+N584+N586)+$I$615*(N548+N561+N571+N578)</f>
        <v>50925.396923076929</v>
      </c>
      <c r="Q615" s="450">
        <f t="shared" ref="Q615:R615" si="214">(O546+O547+O551+O552+O556+O566+O575+O577+O581+O582+O583+O584+O586)+$I$615*(O548+O561+O571+O578)</f>
        <v>50547.745769230773</v>
      </c>
      <c r="R615" s="450">
        <f t="shared" si="214"/>
        <v>65491.385384615387</v>
      </c>
    </row>
    <row r="616" spans="1:18" s="50" customFormat="1" ht="130">
      <c r="A616" s="760">
        <v>23</v>
      </c>
      <c r="B616" s="225" t="s">
        <v>280</v>
      </c>
      <c r="C616" s="226" t="s">
        <v>51</v>
      </c>
      <c r="D616" s="226" t="s">
        <v>31</v>
      </c>
      <c r="E616" s="226" t="s">
        <v>889</v>
      </c>
      <c r="F616" s="374">
        <f>(K546+K547+K551+K552+K556+K566+K575+K577+K581+K582+K583+K584+K586)</f>
        <v>1759008.6855000001</v>
      </c>
      <c r="G616" s="374">
        <f t="shared" ref="G616:H616" si="215">(L546+L547+L551+L552+L556+L566+L575+L577+L581+L582+L583+L584+L586)</f>
        <v>1759852.3140000002</v>
      </c>
      <c r="H616" s="374">
        <f t="shared" si="215"/>
        <v>2260163.6722500003</v>
      </c>
      <c r="I616" s="226">
        <v>0.315</v>
      </c>
      <c r="J616" s="718">
        <f t="shared" si="172"/>
        <v>19987.505999999998</v>
      </c>
      <c r="K616" s="718">
        <f t="shared" si="173"/>
        <v>11583.668250000001</v>
      </c>
      <c r="L616" s="718">
        <f t="shared" si="167"/>
        <v>26801.428499999998</v>
      </c>
      <c r="M616" s="127">
        <f t="shared" si="211"/>
        <v>1778996.1915000002</v>
      </c>
      <c r="N616" s="127">
        <f t="shared" si="169"/>
        <v>1771435.9822500004</v>
      </c>
      <c r="O616" s="127">
        <f t="shared" si="170"/>
        <v>2286965.1007500002</v>
      </c>
      <c r="P616" s="450">
        <f>(N546+N547+N551+N552+N556+N566+N575+N577+N581+N582+N583+N584+N586)+$I$616*(N548+N561+N571+N578)</f>
        <v>50497.243076923078</v>
      </c>
      <c r="Q616" s="450">
        <f t="shared" ref="Q616:R616" si="216">(O546+O547+O551+O552+O556+O566+O575+O577+O581+O582+O583+O584+O586)+$I$616*(O548+O561+O571+O578)</f>
        <v>50299.611153846156</v>
      </c>
      <c r="R616" s="450">
        <f t="shared" si="216"/>
        <v>64917.270000000004</v>
      </c>
    </row>
    <row r="617" spans="1:18" s="50" customFormat="1" ht="117">
      <c r="A617" s="760">
        <v>24</v>
      </c>
      <c r="B617" s="225" t="s">
        <v>282</v>
      </c>
      <c r="C617" s="226" t="s">
        <v>51</v>
      </c>
      <c r="D617" s="226" t="s">
        <v>31</v>
      </c>
      <c r="E617" s="226" t="s">
        <v>886</v>
      </c>
      <c r="F617" s="374">
        <f>(K546+K547+K551+K552+K556+K575+K577+K581+K582+K583+K584+K586)</f>
        <v>1748192.9355000001</v>
      </c>
      <c r="G617" s="374">
        <f t="shared" ref="G617:H617" si="217">(L546+L547+L551+L552+L556+L575+L577+L581+L582+L583+L584+L586)</f>
        <v>1749036.5640000002</v>
      </c>
      <c r="H617" s="374">
        <f t="shared" si="217"/>
        <v>2249347.9222500003</v>
      </c>
      <c r="I617" s="226">
        <v>0.13</v>
      </c>
      <c r="J617" s="718">
        <f t="shared" si="172"/>
        <v>8248.8119999999999</v>
      </c>
      <c r="K617" s="718">
        <f t="shared" si="173"/>
        <v>4780.5615000000007</v>
      </c>
      <c r="L617" s="718">
        <f t="shared" si="167"/>
        <v>11060.906999999999</v>
      </c>
      <c r="M617" s="127">
        <f t="shared" si="211"/>
        <v>1756441.7475000001</v>
      </c>
      <c r="N617" s="127">
        <f t="shared" si="169"/>
        <v>1753817.1255000003</v>
      </c>
      <c r="O617" s="127">
        <f t="shared" si="170"/>
        <v>2260408.8292500004</v>
      </c>
      <c r="P617" s="450">
        <f>(N546+N547+N551+N552+N556+N575+N577+N581+N582+N583+N584+N586)+$I$617*(N548+N561+N571+N578)</f>
        <v>49888.486153846156</v>
      </c>
      <c r="Q617" s="450">
        <f t="shared" ref="Q617:R617" si="218">(O546+O547+O551+O552+O556+O575+O577+O581+O582+O583+O584+O586)+$I$617*(O548+O561+O571+O578)</f>
        <v>49824.06846153846</v>
      </c>
      <c r="R617" s="450">
        <f t="shared" si="218"/>
        <v>64200.50153846154</v>
      </c>
    </row>
    <row r="618" spans="1:18" s="50" customFormat="1" ht="130">
      <c r="A618" s="764">
        <v>25</v>
      </c>
      <c r="B618" s="225" t="s">
        <v>284</v>
      </c>
      <c r="C618" s="226" t="s">
        <v>51</v>
      </c>
      <c r="D618" s="226" t="s">
        <v>31</v>
      </c>
      <c r="E618" s="226" t="s">
        <v>891</v>
      </c>
      <c r="F618" s="374">
        <f>(K546+K547+K551+K552+K575+K577+K563+K581+K582+K583+K584+K586)</f>
        <v>401451.79799999989</v>
      </c>
      <c r="G618" s="374">
        <f t="shared" ref="G618:H618" si="219">(L546+L547+L551+L552+L575+L577+L563+L581+L582+L583+L584+L586)</f>
        <v>386252.0639999999</v>
      </c>
      <c r="H618" s="374">
        <f t="shared" si="219"/>
        <v>493771.43474999996</v>
      </c>
      <c r="I618" s="226">
        <v>0.23899999999999999</v>
      </c>
      <c r="J618" s="718">
        <f t="shared" si="172"/>
        <v>15165.123599999997</v>
      </c>
      <c r="K618" s="718">
        <f t="shared" si="173"/>
        <v>8788.8784500000002</v>
      </c>
      <c r="L618" s="718">
        <f t="shared" si="167"/>
        <v>20335.052099999997</v>
      </c>
      <c r="M618" s="127">
        <f t="shared" si="211"/>
        <v>416616.92159999989</v>
      </c>
      <c r="N618" s="127">
        <f>G618+K618</f>
        <v>395040.94244999991</v>
      </c>
      <c r="O618" s="127">
        <f t="shared" si="170"/>
        <v>514106.48684999993</v>
      </c>
      <c r="P618" s="450">
        <f>(N546+N547+N551+N552+N575+N577+N563+N581+N582+N583+N584+N586)+$I$618*(N548+N561+N571+N578)</f>
        <v>11638.622769230766</v>
      </c>
      <c r="Q618" s="450">
        <f t="shared" ref="Q618:R618" si="220">(O546+O547+O551+O552+O575+O577+O563+O581+O582+O583+O584+O586)+$I$618*(O548+O561+O571+O578)</f>
        <v>11009.17823076923</v>
      </c>
      <c r="R618" s="450">
        <f t="shared" si="220"/>
        <v>14337.354307692303</v>
      </c>
    </row>
    <row r="619" spans="1:18" s="24" customFormat="1">
      <c r="A619" s="24" t="s">
        <v>308</v>
      </c>
      <c r="B619" s="274">
        <f>L_CViec!B711</f>
        <v>0</v>
      </c>
      <c r="C619" s="275">
        <f>L_CViec!AD711</f>
        <v>0</v>
      </c>
      <c r="D619" s="275"/>
      <c r="E619" s="275">
        <f>L_CViec!AE711</f>
        <v>0</v>
      </c>
      <c r="F619" s="275">
        <f>L_CViec!AF711</f>
        <v>0</v>
      </c>
      <c r="G619" s="276">
        <f>L_CViec!AG711</f>
        <v>0</v>
      </c>
      <c r="H619" s="277">
        <f>L_CViec!AH711</f>
        <v>0</v>
      </c>
      <c r="I619" s="277"/>
      <c r="J619" s="721"/>
      <c r="K619" s="78"/>
      <c r="L619" s="513">
        <f>L_CViec!AC711</f>
        <v>0</v>
      </c>
      <c r="M619" s="513"/>
      <c r="N619" s="513"/>
      <c r="O619" s="513"/>
    </row>
    <row r="620" spans="1:18" s="23" customFormat="1">
      <c r="A620" s="952" t="s">
        <v>23</v>
      </c>
      <c r="B620" s="478" t="s">
        <v>44</v>
      </c>
      <c r="C620" s="944" t="s">
        <v>38</v>
      </c>
      <c r="D620" s="479"/>
      <c r="E620" s="944" t="s">
        <v>16</v>
      </c>
      <c r="F620" s="479" t="s">
        <v>96</v>
      </c>
      <c r="G620" s="476" t="s">
        <v>40</v>
      </c>
      <c r="H620" s="945" t="s">
        <v>309</v>
      </c>
      <c r="I620" s="943" t="s">
        <v>35</v>
      </c>
      <c r="J620" s="757" t="s">
        <v>26</v>
      </c>
      <c r="K620" s="473" t="s">
        <v>97</v>
      </c>
      <c r="L620" s="514"/>
      <c r="M620" s="514"/>
      <c r="N620" s="514"/>
      <c r="O620" s="514"/>
    </row>
    <row r="621" spans="1:18" s="23" customFormat="1">
      <c r="A621" s="952"/>
      <c r="B621" s="478"/>
      <c r="C621" s="944"/>
      <c r="D621" s="479"/>
      <c r="E621" s="944"/>
      <c r="F621" s="479" t="s">
        <v>24</v>
      </c>
      <c r="G621" s="482" t="s">
        <v>39</v>
      </c>
      <c r="H621" s="943"/>
      <c r="I621" s="943"/>
      <c r="J621" s="741">
        <v>0.1</v>
      </c>
      <c r="K621" s="474" t="s">
        <v>98</v>
      </c>
      <c r="L621" s="514"/>
      <c r="M621" s="514"/>
      <c r="N621" s="514"/>
      <c r="O621" s="514"/>
    </row>
    <row r="622" spans="1:18" s="51" customFormat="1">
      <c r="A622" s="223" t="str">
        <f>L_CViec!A478</f>
        <v>XI</v>
      </c>
      <c r="B622" s="409" t="str">
        <f>L_CViec!B478</f>
        <v>TRÍCH LỤC HỒ SƠ ĐỊA CHÍNH</v>
      </c>
      <c r="C622" s="409">
        <f>L_CViec!AD478</f>
        <v>0</v>
      </c>
      <c r="D622" s="409"/>
      <c r="E622" s="409">
        <f>L_CViec!AE478</f>
        <v>0</v>
      </c>
      <c r="F622" s="409">
        <f>L_CViec!AF478</f>
        <v>0</v>
      </c>
      <c r="G622" s="409">
        <f>L_CViec!AG478</f>
        <v>0</v>
      </c>
      <c r="H622" s="475"/>
      <c r="I622" s="475">
        <f>I623+I625+I628</f>
        <v>64173.450000000004</v>
      </c>
      <c r="J622" s="707">
        <f>J623+J625+J628</f>
        <v>1946.1538461538462</v>
      </c>
      <c r="K622" s="473">
        <f>K623+K625+K628</f>
        <v>5615.3846153846162</v>
      </c>
      <c r="L622" s="515">
        <f>L_CViec!AC478</f>
        <v>0</v>
      </c>
      <c r="M622" s="516"/>
      <c r="N622" s="516"/>
      <c r="O622" s="516"/>
    </row>
    <row r="623" spans="1:18" s="50" customFormat="1">
      <c r="A623" s="226" t="str">
        <f>L_CViec!A479</f>
        <v>1</v>
      </c>
      <c r="B623" s="227" t="str">
        <f>L_CViec!B479</f>
        <v>Nhận, trả hồ sơ, thu phí, lệ phí</v>
      </c>
      <c r="C623" s="226" t="str">
        <f>L_CViec!AD479</f>
        <v>Hồ sơ</v>
      </c>
      <c r="D623" s="226">
        <f>L_CViec!AC479</f>
        <v>1</v>
      </c>
      <c r="E623" s="226" t="str">
        <f>L_CViec!AE479</f>
        <v>1KS2</v>
      </c>
      <c r="F623" s="226">
        <f>L_CViec!AF479</f>
        <v>0</v>
      </c>
      <c r="G623" s="605" t="s">
        <v>838</v>
      </c>
      <c r="H623" s="127">
        <f>L_CViec!AH479</f>
        <v>320867.25</v>
      </c>
      <c r="I623" s="127">
        <f>G623*H623</f>
        <v>32086.725000000002</v>
      </c>
      <c r="J623" s="718">
        <f>$D623*$G623*L_CBac!$J$68</f>
        <v>973.07692307692309</v>
      </c>
      <c r="K623" s="474">
        <f>$D623*$G623*L_CBac!$J$69</f>
        <v>2807.6923076923081</v>
      </c>
      <c r="L623" s="517">
        <f>L_CViec!AC479</f>
        <v>1</v>
      </c>
      <c r="M623" s="518"/>
      <c r="N623" s="518"/>
      <c r="O623" s="518"/>
    </row>
    <row r="624" spans="1:18" s="50" customFormat="1">
      <c r="A624" s="226" t="str">
        <f>L_CViec!A480</f>
        <v>2</v>
      </c>
      <c r="B624" s="227" t="str">
        <f>L_CViec!B480</f>
        <v>Trích lục thửa đất</v>
      </c>
      <c r="C624" s="226">
        <f>L_CViec!AD480</f>
        <v>0</v>
      </c>
      <c r="D624" s="226">
        <f>L_CViec!AC480</f>
        <v>0</v>
      </c>
      <c r="E624" s="226">
        <f>L_CViec!AE480</f>
        <v>0</v>
      </c>
      <c r="F624" s="226">
        <f>L_CViec!AF480</f>
        <v>0</v>
      </c>
      <c r="G624" s="226">
        <f>L_CViec!AG480</f>
        <v>0</v>
      </c>
      <c r="H624" s="127">
        <f>L_CViec!AH480</f>
        <v>0</v>
      </c>
      <c r="I624" s="127"/>
      <c r="J624" s="718"/>
      <c r="K624" s="473"/>
      <c r="L624" s="517">
        <f>L_CViec!AC480</f>
        <v>0</v>
      </c>
      <c r="M624" s="518"/>
      <c r="N624" s="518"/>
      <c r="O624" s="518"/>
    </row>
    <row r="625" spans="1:15" s="66" customFormat="1">
      <c r="A625" s="228" t="str">
        <f>L_CViec!A481</f>
        <v>2.1</v>
      </c>
      <c r="B625" s="577" t="str">
        <f>L_CViec!B481</f>
        <v>Trích lục từ hồ sơ địa chính số</v>
      </c>
      <c r="C625" s="226" t="str">
        <f>L_CViec!AD481</f>
        <v>Hồ sơ</v>
      </c>
      <c r="D625" s="226">
        <f>L_CViec!AC481</f>
        <v>1</v>
      </c>
      <c r="E625" s="226" t="str">
        <f>L_CViec!AE481</f>
        <v>1KS2</v>
      </c>
      <c r="F625" s="226">
        <f>L_CViec!AF481</f>
        <v>0</v>
      </c>
      <c r="G625" s="226">
        <v>0.05</v>
      </c>
      <c r="H625" s="127">
        <f>L_CViec!AH481</f>
        <v>320867.25</v>
      </c>
      <c r="I625" s="127">
        <f>G625*H625</f>
        <v>16043.362500000001</v>
      </c>
      <c r="J625" s="718">
        <f>$D625*$G625*L_CBac!$J$68</f>
        <v>486.53846153846155</v>
      </c>
      <c r="K625" s="474">
        <f>$D625*$G625*L_CBac!$J$69</f>
        <v>1403.846153846154</v>
      </c>
      <c r="L625" s="517">
        <f>L_CViec!AC481</f>
        <v>1</v>
      </c>
      <c r="M625" s="519"/>
      <c r="N625" s="519"/>
      <c r="O625" s="519"/>
    </row>
    <row r="626" spans="1:15" s="66" customFormat="1">
      <c r="A626" s="228" t="str">
        <f>L_CViec!A482</f>
        <v>2.2</v>
      </c>
      <c r="B626" s="577" t="str">
        <f>L_CViec!B482</f>
        <v>Trích sao từ hồ sơ địa chính giấy</v>
      </c>
      <c r="C626" s="226" t="str">
        <f>L_CViec!AD482</f>
        <v>Hồ sơ</v>
      </c>
      <c r="D626" s="226">
        <f>L_CViec!AC482</f>
        <v>1</v>
      </c>
      <c r="E626" s="226" t="str">
        <f>L_CViec!AE482</f>
        <v>1KS2</v>
      </c>
      <c r="F626" s="226">
        <f>L_CViec!AF482</f>
        <v>0</v>
      </c>
      <c r="G626" s="226">
        <v>0.1</v>
      </c>
      <c r="H626" s="127">
        <f>L_CViec!AH482</f>
        <v>320867.25</v>
      </c>
      <c r="I626" s="127">
        <f>G626*H626</f>
        <v>32086.725000000002</v>
      </c>
      <c r="J626" s="718">
        <f>$D626*$G626*L_CBac!$J$68</f>
        <v>973.07692307692309</v>
      </c>
      <c r="K626" s="473">
        <f>$D626*$G626*L_CBac!$J$69</f>
        <v>2807.6923076923081</v>
      </c>
      <c r="L626" s="517">
        <f>L_CViec!AC482</f>
        <v>1</v>
      </c>
      <c r="M626" s="519"/>
      <c r="N626" s="519"/>
      <c r="O626" s="519"/>
    </row>
    <row r="627" spans="1:15" s="50" customFormat="1">
      <c r="A627" s="226" t="str">
        <f>L_CViec!A483</f>
        <v>3</v>
      </c>
      <c r="B627" s="227" t="str">
        <f>L_CViec!B483</f>
        <v>Trích sao thông tin địa chính</v>
      </c>
      <c r="C627" s="226">
        <f>L_CViec!AD483</f>
        <v>0</v>
      </c>
      <c r="D627" s="226">
        <f>L_CViec!AC483</f>
        <v>0</v>
      </c>
      <c r="E627" s="226">
        <f>L_CViec!AE483</f>
        <v>0</v>
      </c>
      <c r="F627" s="226">
        <f>L_CViec!AF483</f>
        <v>0</v>
      </c>
      <c r="G627" s="226">
        <f>L_CViec!AG483</f>
        <v>0</v>
      </c>
      <c r="H627" s="127">
        <f>L_CViec!AH483</f>
        <v>0</v>
      </c>
      <c r="I627" s="127"/>
      <c r="J627" s="718"/>
      <c r="K627" s="474"/>
      <c r="L627" s="517">
        <f>L_CViec!AC483</f>
        <v>0</v>
      </c>
      <c r="M627" s="518"/>
      <c r="N627" s="518"/>
      <c r="O627" s="518"/>
    </row>
    <row r="628" spans="1:15" s="66" customFormat="1">
      <c r="A628" s="228" t="str">
        <f>L_CViec!A484</f>
        <v>3.1</v>
      </c>
      <c r="B628" s="577" t="str">
        <f>L_CViec!B484</f>
        <v>Trích sao từ hồ sơ địa chính số</v>
      </c>
      <c r="C628" s="226" t="str">
        <f>L_CViec!AD484</f>
        <v>Hồ sơ</v>
      </c>
      <c r="D628" s="226">
        <f>L_CViec!AC484</f>
        <v>1</v>
      </c>
      <c r="E628" s="226" t="str">
        <f>L_CViec!AE484</f>
        <v>1KS2</v>
      </c>
      <c r="F628" s="226">
        <f>L_CViec!AF484</f>
        <v>0</v>
      </c>
      <c r="G628" s="226">
        <v>0.05</v>
      </c>
      <c r="H628" s="127">
        <f>L_CViec!AH484</f>
        <v>320867.25</v>
      </c>
      <c r="I628" s="127">
        <f>G628*H628</f>
        <v>16043.362500000001</v>
      </c>
      <c r="J628" s="718">
        <f>$D628*$G628*L_CBac!$J$68</f>
        <v>486.53846153846155</v>
      </c>
      <c r="K628" s="473">
        <f>$D628*$G628*L_CBac!$J$69</f>
        <v>1403.846153846154</v>
      </c>
      <c r="L628" s="517">
        <f>L_CViec!AC484</f>
        <v>1</v>
      </c>
      <c r="M628" s="519"/>
      <c r="N628" s="519"/>
      <c r="O628" s="519"/>
    </row>
    <row r="629" spans="1:15" s="66" customFormat="1">
      <c r="A629" s="228" t="str">
        <f>L_CViec!A485</f>
        <v>3.2</v>
      </c>
      <c r="B629" s="577" t="str">
        <f>L_CViec!B485</f>
        <v>Trích sao từ hồ sơ địa chính giấy</v>
      </c>
      <c r="C629" s="226" t="str">
        <f>L_CViec!AD485</f>
        <v>Hồ sơ</v>
      </c>
      <c r="D629" s="226">
        <f>L_CViec!AC485</f>
        <v>1</v>
      </c>
      <c r="E629" s="226" t="str">
        <f>L_CViec!AE485</f>
        <v>1KS2</v>
      </c>
      <c r="F629" s="226">
        <f>L_CViec!AF485</f>
        <v>0</v>
      </c>
      <c r="G629" s="226">
        <v>0.1</v>
      </c>
      <c r="H629" s="127">
        <f>L_CViec!AH485</f>
        <v>320867.25</v>
      </c>
      <c r="I629" s="127">
        <f>G629*H629</f>
        <v>32086.725000000002</v>
      </c>
      <c r="J629" s="718">
        <f>$D629*$G629*L_CBac!$J$68</f>
        <v>973.07692307692309</v>
      </c>
      <c r="K629" s="474">
        <f>$D629*$G629*L_CBac!$J$69</f>
        <v>2807.6923076923081</v>
      </c>
      <c r="L629" s="517">
        <f>L_CViec!AC485</f>
        <v>1</v>
      </c>
      <c r="M629" s="519"/>
      <c r="N629" s="519"/>
      <c r="O629" s="519"/>
    </row>
    <row r="630" spans="1:15" s="50" customFormat="1">
      <c r="A630" s="226">
        <f>L_CViec!A486</f>
        <v>0</v>
      </c>
      <c r="B630" s="409" t="str">
        <f>L_CViec!B486</f>
        <v>Ghi chú:</v>
      </c>
      <c r="C630" s="409">
        <f>L_CViec!AD486</f>
        <v>0</v>
      </c>
      <c r="D630" s="409"/>
      <c r="E630" s="409">
        <f>L_CViec!AE486</f>
        <v>0</v>
      </c>
      <c r="F630" s="409">
        <f>L_CViec!AF486</f>
        <v>0</v>
      </c>
      <c r="G630" s="226">
        <f>L_CViec!AG486</f>
        <v>0</v>
      </c>
      <c r="H630" s="127">
        <f>L_CViec!AH486</f>
        <v>0</v>
      </c>
      <c r="I630" s="127"/>
      <c r="J630" s="718"/>
      <c r="K630" s="473"/>
      <c r="L630" s="520">
        <f>L_CViec!AC486</f>
        <v>0</v>
      </c>
      <c r="M630" s="518"/>
      <c r="N630" s="518"/>
      <c r="O630" s="518"/>
    </row>
    <row r="631" spans="1:15" s="50" customFormat="1" ht="26">
      <c r="A631" s="226">
        <v>1</v>
      </c>
      <c r="B631" s="227" t="str">
        <f>L_CViec!B487</f>
        <v>Trường hợp trích lục hồ sơ cho 01 khu đất (gồm nhiều thửa) mức áp dụng như sau:</v>
      </c>
      <c r="C631" s="227">
        <f>L_CViec!AD487</f>
        <v>0</v>
      </c>
      <c r="D631" s="227"/>
      <c r="E631" s="227">
        <f>L_CViec!AE487</f>
        <v>0</v>
      </c>
      <c r="F631" s="227">
        <f>L_CViec!AF487</f>
        <v>0</v>
      </c>
      <c r="G631" s="226">
        <f>L_CViec!AG487</f>
        <v>0</v>
      </c>
      <c r="H631" s="127">
        <f>L_CViec!AH487</f>
        <v>0</v>
      </c>
      <c r="I631" s="127"/>
      <c r="J631" s="718"/>
      <c r="K631" s="474"/>
      <c r="L631" s="520">
        <f>L_CViec!AC487</f>
        <v>0</v>
      </c>
      <c r="M631" s="518"/>
      <c r="N631" s="518"/>
      <c r="O631" s="518"/>
    </row>
    <row r="632" spans="1:15" s="50" customFormat="1" ht="26">
      <c r="A632" s="226"/>
      <c r="B632" s="227" t="str">
        <f>L_CViec!B488</f>
        <v>- Dưới 05 thửa: Mức cho một thửa tính bằng 0,80 mức quy định tại Bảng 14;</v>
      </c>
      <c r="C632" s="227">
        <f>L_CViec!AD488</f>
        <v>0</v>
      </c>
      <c r="D632" s="227"/>
      <c r="E632" s="227">
        <f>L_CViec!AE488</f>
        <v>0</v>
      </c>
      <c r="F632" s="227">
        <f>L_CViec!AF488</f>
        <v>0</v>
      </c>
      <c r="G632" s="226">
        <f>L_CViec!AG488</f>
        <v>0.8</v>
      </c>
      <c r="H632" s="127">
        <f>L_CViec!AH488</f>
        <v>0</v>
      </c>
      <c r="I632" s="127">
        <f>$G632*I$622</f>
        <v>51338.760000000009</v>
      </c>
      <c r="J632" s="718">
        <f t="shared" ref="I632:K634" si="221">$G632*J$622</f>
        <v>1556.9230769230771</v>
      </c>
      <c r="K632" s="473">
        <f t="shared" si="221"/>
        <v>4492.3076923076933</v>
      </c>
      <c r="L632" s="520">
        <f>L_CViec!AC488</f>
        <v>0</v>
      </c>
      <c r="M632" s="518"/>
      <c r="N632" s="518"/>
      <c r="O632" s="518"/>
    </row>
    <row r="633" spans="1:15" s="50" customFormat="1" ht="26">
      <c r="A633" s="226"/>
      <c r="B633" s="227" t="str">
        <f>L_CViec!B489</f>
        <v>- Từ 05 thửa đến 10 thửa: Mức cho một thửa tính bằng 0,65 mức quy định tại Bảng 14;</v>
      </c>
      <c r="C633" s="227">
        <f>L_CViec!AD489</f>
        <v>0</v>
      </c>
      <c r="D633" s="227"/>
      <c r="E633" s="227">
        <f>L_CViec!AE489</f>
        <v>0</v>
      </c>
      <c r="F633" s="227">
        <f>L_CViec!AF489</f>
        <v>0</v>
      </c>
      <c r="G633" s="226">
        <f>L_CViec!AG489</f>
        <v>0.65</v>
      </c>
      <c r="H633" s="127">
        <f>L_CViec!AH489</f>
        <v>0</v>
      </c>
      <c r="I633" s="127">
        <f t="shared" si="221"/>
        <v>41712.742500000008</v>
      </c>
      <c r="J633" s="718">
        <f t="shared" si="221"/>
        <v>1265</v>
      </c>
      <c r="K633" s="474">
        <f t="shared" si="221"/>
        <v>3650.0000000000005</v>
      </c>
      <c r="L633" s="520">
        <f>L_CViec!AC489</f>
        <v>0</v>
      </c>
      <c r="M633" s="518"/>
      <c r="N633" s="518"/>
      <c r="O633" s="518"/>
    </row>
    <row r="634" spans="1:15" s="50" customFormat="1" ht="26">
      <c r="A634" s="226"/>
      <c r="B634" s="227" t="str">
        <f>L_CViec!B490</f>
        <v>- Trên 10 thửa: Mức cho một thửa tính bằng 0,50 mức quy định tại Bảng 14.</v>
      </c>
      <c r="C634" s="227">
        <f>L_CViec!AD490</f>
        <v>0</v>
      </c>
      <c r="D634" s="227"/>
      <c r="E634" s="227">
        <f>L_CViec!AE490</f>
        <v>0</v>
      </c>
      <c r="F634" s="227">
        <f>L_CViec!AF490</f>
        <v>0</v>
      </c>
      <c r="G634" s="226">
        <f>L_CViec!AG490</f>
        <v>0.5</v>
      </c>
      <c r="H634" s="127">
        <f>L_CViec!AH490</f>
        <v>0</v>
      </c>
      <c r="I634" s="127">
        <f t="shared" si="221"/>
        <v>32086.725000000002</v>
      </c>
      <c r="J634" s="718">
        <f t="shared" si="221"/>
        <v>973.07692307692309</v>
      </c>
      <c r="K634" s="472">
        <f t="shared" si="221"/>
        <v>2807.6923076923081</v>
      </c>
      <c r="L634" s="520">
        <f>L_CViec!AC490</f>
        <v>0</v>
      </c>
      <c r="M634" s="518"/>
      <c r="N634" s="518"/>
      <c r="O634" s="518"/>
    </row>
    <row r="635" spans="1:15">
      <c r="C635" s="18"/>
      <c r="D635" s="18"/>
      <c r="E635" s="18"/>
      <c r="F635" s="18"/>
      <c r="H635" s="20"/>
      <c r="I635" s="20"/>
      <c r="J635" s="746"/>
      <c r="K635" s="20"/>
    </row>
    <row r="636" spans="1:15">
      <c r="C636" s="18"/>
      <c r="D636" s="18"/>
      <c r="E636" s="18"/>
      <c r="F636" s="18"/>
      <c r="H636" s="20"/>
      <c r="I636" s="20"/>
      <c r="J636" s="746"/>
      <c r="K636" s="20"/>
    </row>
  </sheetData>
  <mergeCells count="196">
    <mergeCell ref="A267:A272"/>
    <mergeCell ref="B267:B272"/>
    <mergeCell ref="F267:F268"/>
    <mergeCell ref="F269:F270"/>
    <mergeCell ref="F271:F272"/>
    <mergeCell ref="A12:A17"/>
    <mergeCell ref="B12:C17"/>
    <mergeCell ref="D12:D17"/>
    <mergeCell ref="F12:F13"/>
    <mergeCell ref="F14:F15"/>
    <mergeCell ref="F16:F17"/>
    <mergeCell ref="A24:A29"/>
    <mergeCell ref="B24:C29"/>
    <mergeCell ref="D24:D29"/>
    <mergeCell ref="F24:F25"/>
    <mergeCell ref="F26:F27"/>
    <mergeCell ref="F28:F29"/>
    <mergeCell ref="A126:A131"/>
    <mergeCell ref="B126:C131"/>
    <mergeCell ref="F126:F127"/>
    <mergeCell ref="F128:F129"/>
    <mergeCell ref="F130:F131"/>
    <mergeCell ref="A111:A112"/>
    <mergeCell ref="A49:A54"/>
    <mergeCell ref="J3:J4"/>
    <mergeCell ref="N451:P451"/>
    <mergeCell ref="N540:P540"/>
    <mergeCell ref="B540:B541"/>
    <mergeCell ref="B333:I333"/>
    <mergeCell ref="J333:K333"/>
    <mergeCell ref="B334:I334"/>
    <mergeCell ref="J334:K334"/>
    <mergeCell ref="B335:I335"/>
    <mergeCell ref="J335:K335"/>
    <mergeCell ref="J338:J339"/>
    <mergeCell ref="J451:J452"/>
    <mergeCell ref="J336:K336"/>
    <mergeCell ref="N338:P338"/>
    <mergeCell ref="F261:F262"/>
    <mergeCell ref="B448:M448"/>
    <mergeCell ref="B449:M449"/>
    <mergeCell ref="B401:J401"/>
    <mergeCell ref="F18:F19"/>
    <mergeCell ref="F20:F21"/>
    <mergeCell ref="F22:F23"/>
    <mergeCell ref="F263:F264"/>
    <mergeCell ref="B260:I260"/>
    <mergeCell ref="B204:J204"/>
    <mergeCell ref="A620:A621"/>
    <mergeCell ref="C620:C621"/>
    <mergeCell ref="E620:E621"/>
    <mergeCell ref="H620:H621"/>
    <mergeCell ref="I620:I621"/>
    <mergeCell ref="B542:J542"/>
    <mergeCell ref="B590:M590"/>
    <mergeCell ref="B591:M591"/>
    <mergeCell ref="C451:C452"/>
    <mergeCell ref="K451:M451"/>
    <mergeCell ref="G451:I451"/>
    <mergeCell ref="G540:I540"/>
    <mergeCell ref="J540:J541"/>
    <mergeCell ref="C540:C541"/>
    <mergeCell ref="E451:E452"/>
    <mergeCell ref="A540:A541"/>
    <mergeCell ref="E540:E541"/>
    <mergeCell ref="A451:A452"/>
    <mergeCell ref="K540:M540"/>
    <mergeCell ref="B508:M508"/>
    <mergeCell ref="B453:J453"/>
    <mergeCell ref="B507:M507"/>
    <mergeCell ref="E509:E510"/>
    <mergeCell ref="F509:H509"/>
    <mergeCell ref="N399:P399"/>
    <mergeCell ref="B393:M393"/>
    <mergeCell ref="B394:M394"/>
    <mergeCell ref="B396:M396"/>
    <mergeCell ref="C338:C339"/>
    <mergeCell ref="E338:E339"/>
    <mergeCell ref="B340:J340"/>
    <mergeCell ref="B397:M397"/>
    <mergeCell ref="K338:M338"/>
    <mergeCell ref="K399:M399"/>
    <mergeCell ref="B111:B112"/>
    <mergeCell ref="B150:B155"/>
    <mergeCell ref="B156:B161"/>
    <mergeCell ref="B200:M200"/>
    <mergeCell ref="B205:B209"/>
    <mergeCell ref="F118:F119"/>
    <mergeCell ref="B199:M199"/>
    <mergeCell ref="K202:M202"/>
    <mergeCell ref="C202:C203"/>
    <mergeCell ref="C111:C112"/>
    <mergeCell ref="E202:E203"/>
    <mergeCell ref="B120:C125"/>
    <mergeCell ref="F120:F121"/>
    <mergeCell ref="F122:F123"/>
    <mergeCell ref="F124:F125"/>
    <mergeCell ref="B132:C137"/>
    <mergeCell ref="F132:F133"/>
    <mergeCell ref="F134:F135"/>
    <mergeCell ref="F136:F137"/>
    <mergeCell ref="K111:M111"/>
    <mergeCell ref="B113:J113"/>
    <mergeCell ref="N202:P202"/>
    <mergeCell ref="B197:M197"/>
    <mergeCell ref="B198:M198"/>
    <mergeCell ref="N111:P111"/>
    <mergeCell ref="A120:A125"/>
    <mergeCell ref="A132:A137"/>
    <mergeCell ref="A1:K1"/>
    <mergeCell ref="A3:A4"/>
    <mergeCell ref="C3:C4"/>
    <mergeCell ref="I3:I4"/>
    <mergeCell ref="E3:E4"/>
    <mergeCell ref="D3:D4"/>
    <mergeCell ref="A6:A11"/>
    <mergeCell ref="J111:J112"/>
    <mergeCell ref="H3:H4"/>
    <mergeCell ref="F6:F7"/>
    <mergeCell ref="F8:F9"/>
    <mergeCell ref="F10:F11"/>
    <mergeCell ref="B105:K105"/>
    <mergeCell ref="B106:K106"/>
    <mergeCell ref="D6:D11"/>
    <mergeCell ref="B6:C11"/>
    <mergeCell ref="B49:B54"/>
    <mergeCell ref="A55:A60"/>
    <mergeCell ref="B55:B60"/>
    <mergeCell ref="B18:C23"/>
    <mergeCell ref="A18:A23"/>
    <mergeCell ref="D18:D23"/>
    <mergeCell ref="A338:A339"/>
    <mergeCell ref="A399:A400"/>
    <mergeCell ref="B329:I329"/>
    <mergeCell ref="B330:I330"/>
    <mergeCell ref="A261:A266"/>
    <mergeCell ref="B261:B266"/>
    <mergeCell ref="F265:F266"/>
    <mergeCell ref="A150:A155"/>
    <mergeCell ref="B107:K107"/>
    <mergeCell ref="B95:C95"/>
    <mergeCell ref="B104:K104"/>
    <mergeCell ref="A156:A161"/>
    <mergeCell ref="A205:A209"/>
    <mergeCell ref="A202:A203"/>
    <mergeCell ref="A258:A259"/>
    <mergeCell ref="G111:I111"/>
    <mergeCell ref="E111:E112"/>
    <mergeCell ref="B108:K108"/>
    <mergeCell ref="B109:K109"/>
    <mergeCell ref="J330:K330"/>
    <mergeCell ref="B331:I331"/>
    <mergeCell ref="J331:K331"/>
    <mergeCell ref="B332:I332"/>
    <mergeCell ref="J332:K332"/>
    <mergeCell ref="B336:I336"/>
    <mergeCell ref="B399:B400"/>
    <mergeCell ref="C399:C400"/>
    <mergeCell ref="E399:E400"/>
    <mergeCell ref="G399:I399"/>
    <mergeCell ref="J399:J400"/>
    <mergeCell ref="G338:I338"/>
    <mergeCell ref="B392:M392"/>
    <mergeCell ref="B395:M395"/>
    <mergeCell ref="A114:A119"/>
    <mergeCell ref="B114:C119"/>
    <mergeCell ref="F116:F117"/>
    <mergeCell ref="F114:F115"/>
    <mergeCell ref="J202:J203"/>
    <mergeCell ref="G202:I202"/>
    <mergeCell ref="C258:C259"/>
    <mergeCell ref="E258:E259"/>
    <mergeCell ref="H258:H259"/>
    <mergeCell ref="I258:I259"/>
    <mergeCell ref="B254:M254"/>
    <mergeCell ref="B256:M256"/>
    <mergeCell ref="B255:M255"/>
    <mergeCell ref="J509:L509"/>
    <mergeCell ref="M509:O509"/>
    <mergeCell ref="P509:R509"/>
    <mergeCell ref="B451:B452"/>
    <mergeCell ref="A509:A510"/>
    <mergeCell ref="B509:B510"/>
    <mergeCell ref="C509:C510"/>
    <mergeCell ref="D509:D510"/>
    <mergeCell ref="I509:I510"/>
    <mergeCell ref="P592:R592"/>
    <mergeCell ref="A592:A593"/>
    <mergeCell ref="B592:B593"/>
    <mergeCell ref="C592:C593"/>
    <mergeCell ref="D592:D593"/>
    <mergeCell ref="E592:E593"/>
    <mergeCell ref="F592:H592"/>
    <mergeCell ref="I592:I593"/>
    <mergeCell ref="J592:L592"/>
    <mergeCell ref="M592:O592"/>
  </mergeCells>
  <phoneticPr fontId="48" type="noConversion"/>
  <printOptions horizontalCentered="1"/>
  <pageMargins left="0.59055118110236227" right="0.19685039370078741" top="0.39370078740157483" bottom="0.39370078740157483" header="0.19685039370078741" footer="0.19685039370078741"/>
  <pageSetup paperSize="9" pageOrder="overThenDown" orientation="landscape" horizontalDpi="300" verticalDpi="300" r:id="rId1"/>
  <headerFooter alignWithMargins="0"/>
  <rowBreaks count="7" manualBreakCount="7">
    <brk id="109" max="16383" man="1"/>
    <brk id="200" max="16383" man="1"/>
    <brk id="336" max="16383" man="1"/>
    <brk id="397" max="16383" man="1"/>
    <brk id="449" max="16383" man="1"/>
    <brk id="538" max="16383" man="1"/>
    <brk id="618" max="16383" man="1"/>
  </rowBreaks>
  <colBreaks count="1" manualBreakCount="1">
    <brk id="11" max="1048575" man="1"/>
  </colBreaks>
  <ignoredErrors>
    <ignoredError sqref="I297:K298 K445:P445 D115:J115 B194:P194 G139:P139 B195:E195 G195:P195 D114:J114 D117:J117 D116:J116 D119:J119 D118:J118 B196:P196 C205:D205 B207:D207 B209:D209 I293 K293 I290:K292 K504:P504 C139:E139 C138:P138 B201:P201 C231:E231 I303:K303 J273:K273 I321:K321 K274:K275 C197:P197 N198:P200 C232 F205:J205 F207:J207 F209:J209 I279:K279 I281:K282 I286:K288 I316:I318 K277 J278:K278 I323:K324 K322 K246 K585:P585 I34:J34 K9:K11 N117:P117 K231:P231 I276 I284:K284 I283 K283 I304:I306 K304:K306 I309:I314 J311 K308:K314 K316:K320 K325:K327 K264:K266 K511 J316 B203:P204 B202:M202 O202:P202 L229:M229 I29:J29 I27:J27 I21 I15:J15 I14:J14 I16:J20 I22:J26 J21 I28:J28 K125 K119 K135 K129 K123 K117 L117:M117 K116:M116 K121 K118 K133 K126:K128 K124 K130:K131 K137 K122 K134 K136 K120 K132 N116:P116 N131:P131 N129:P129 L131:M131 L129:M129 L137:M137 L133:M133 L121:M121 L119:M119 L127:M127 L123:M123 L135:M135 L125:M125 N125:P125 N135:P135 N123:P123 N127:P127 L118:P118 L128:P128 L124:P124 L136:P136 L126:P126 L120:P120 N119:P119 L122:P122 N121:P121 L134:P134 N133:P133 N137:P137 L130:P130 L132:P132 K210:P210 K208:P208 K207:P207 K209:P209 Q513:Q538" formula="1"/>
    <ignoredError sqref="G623" numberStoredAsText="1"/>
    <ignoredError sqref="K7:K8" evalError="1" formula="1"/>
    <ignoredError sqref="K6"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sheetPr>
  <dimension ref="A1:N257"/>
  <sheetViews>
    <sheetView showZeros="0" topLeftCell="A230" zoomScale="90" zoomScaleNormal="90" workbookViewId="0">
      <selection activeCell="J241" sqref="J241"/>
    </sheetView>
  </sheetViews>
  <sheetFormatPr defaultColWidth="9" defaultRowHeight="15.5"/>
  <cols>
    <col min="1" max="1" width="7.23046875" style="25" customWidth="1"/>
    <col min="2" max="2" width="30.765625" style="4" customWidth="1"/>
    <col min="3" max="3" width="8.4609375" style="25" customWidth="1"/>
    <col min="4" max="4" width="10.765625" style="4" customWidth="1"/>
    <col min="5" max="5" width="10.84375" style="4" customWidth="1"/>
    <col min="6" max="6" width="9.765625" style="95" customWidth="1"/>
    <col min="7" max="7" width="11.765625" style="96" customWidth="1"/>
    <col min="8" max="8" width="11.07421875" style="96" customWidth="1"/>
    <col min="9" max="9" width="9.23046875" style="96" customWidth="1"/>
    <col min="10" max="10" width="12.765625" style="27" customWidth="1"/>
    <col min="11" max="12" width="11.07421875" style="27" customWidth="1"/>
    <col min="13" max="13" width="7.765625" style="4" customWidth="1"/>
    <col min="14" max="14" width="8.4609375" style="4" customWidth="1"/>
    <col min="15" max="16384" width="9" style="4"/>
  </cols>
  <sheetData>
    <row r="1" spans="1:12" ht="30" customHeight="1">
      <c r="A1" s="1057" t="s">
        <v>451</v>
      </c>
      <c r="B1" s="1057"/>
      <c r="C1" s="1057"/>
      <c r="D1" s="1057"/>
      <c r="E1" s="1057"/>
      <c r="F1" s="1057"/>
      <c r="G1" s="1057"/>
      <c r="H1" s="1057"/>
      <c r="I1" s="1057"/>
      <c r="J1" s="1057"/>
      <c r="K1" s="1057"/>
      <c r="L1" s="1057"/>
    </row>
    <row r="2" spans="1:12">
      <c r="F2" s="36"/>
      <c r="G2" s="34"/>
      <c r="H2" s="34"/>
      <c r="I2" s="34"/>
      <c r="J2" s="1056" t="s">
        <v>317</v>
      </c>
      <c r="K2" s="1056"/>
    </row>
    <row r="3" spans="1:12" s="77" customFormat="1" ht="15.75" customHeight="1">
      <c r="A3" s="987" t="s">
        <v>23</v>
      </c>
      <c r="B3" s="987" t="s">
        <v>2</v>
      </c>
      <c r="C3" s="987" t="s">
        <v>38</v>
      </c>
      <c r="D3" s="987" t="s">
        <v>110</v>
      </c>
      <c r="E3" s="987" t="s">
        <v>372</v>
      </c>
      <c r="F3" s="1012" t="s">
        <v>27</v>
      </c>
      <c r="G3" s="1013" t="s">
        <v>318</v>
      </c>
      <c r="H3" s="1013"/>
      <c r="I3" s="1013"/>
      <c r="J3" s="1014" t="s">
        <v>35</v>
      </c>
      <c r="K3" s="1014"/>
      <c r="L3" s="1014"/>
    </row>
    <row r="4" spans="1:12" s="77" customFormat="1" ht="62.25" customHeight="1">
      <c r="A4" s="987"/>
      <c r="B4" s="987"/>
      <c r="C4" s="987"/>
      <c r="D4" s="987"/>
      <c r="E4" s="987"/>
      <c r="F4" s="1012"/>
      <c r="G4" s="537" t="s">
        <v>692</v>
      </c>
      <c r="H4" s="537"/>
      <c r="I4" s="537" t="s">
        <v>321</v>
      </c>
      <c r="J4" s="537" t="s">
        <v>692</v>
      </c>
      <c r="K4" s="423"/>
      <c r="L4" s="423" t="s">
        <v>321</v>
      </c>
    </row>
    <row r="5" spans="1:12" s="9" customFormat="1" ht="39.75" customHeight="1">
      <c r="A5" s="236" t="str">
        <f>L_CViec!A10</f>
        <v>I</v>
      </c>
      <c r="B5" s="1032" t="str">
        <f>L_CViec!B10</f>
        <v>Đăng ký, cấp Giấy chứng nhận lần đầu đồng loạt đối hộ gia đình, cá nhân, cộng đồng dân cư, tổ chức sử dụng đất, người gốc Việt Nam định cư ở nước ngoài tại địa bàn xã, phường, đặc khu</v>
      </c>
      <c r="C5" s="1032"/>
      <c r="D5" s="1032"/>
      <c r="E5" s="1032"/>
      <c r="F5" s="1032"/>
      <c r="G5" s="1032"/>
      <c r="H5" s="1032"/>
      <c r="I5" s="1032"/>
      <c r="J5" s="538"/>
      <c r="K5" s="538"/>
      <c r="L5" s="539" t="s">
        <v>586</v>
      </c>
    </row>
    <row r="6" spans="1:12" ht="20.25" customHeight="1">
      <c r="A6" s="173">
        <v>1</v>
      </c>
      <c r="B6" s="394" t="s">
        <v>324</v>
      </c>
      <c r="C6" s="244" t="s">
        <v>323</v>
      </c>
      <c r="D6" s="244">
        <v>96</v>
      </c>
      <c r="E6" s="212">
        <f>'Gia_Dcu-Tbi-Vlieu'!E6</f>
        <v>600000</v>
      </c>
      <c r="F6" s="246">
        <f t="shared" ref="F6:F15" si="0">E6/D6/26</f>
        <v>240.38461538461539</v>
      </c>
      <c r="G6" s="541">
        <v>2.516</v>
      </c>
      <c r="H6" s="541"/>
      <c r="I6" s="541">
        <v>0.16800000000000001</v>
      </c>
      <c r="J6" s="247">
        <f t="shared" ref="J6:J15" si="1">$F6*G6</f>
        <v>604.80769230769226</v>
      </c>
      <c r="K6" s="247">
        <f t="shared" ref="K6:K16" si="2">$F6*H6</f>
        <v>0</v>
      </c>
      <c r="L6" s="247">
        <f t="shared" ref="L6:L16" si="3">$F6*I6</f>
        <v>40.384615384615387</v>
      </c>
    </row>
    <row r="7" spans="1:12" ht="20.25" customHeight="1">
      <c r="A7" s="173">
        <v>2</v>
      </c>
      <c r="B7" s="394" t="s">
        <v>47</v>
      </c>
      <c r="C7" s="244" t="s">
        <v>323</v>
      </c>
      <c r="D7" s="244">
        <v>96</v>
      </c>
      <c r="E7" s="212">
        <f>'Gia_Dcu-Tbi-Vlieu'!E7</f>
        <v>1500000</v>
      </c>
      <c r="F7" s="246">
        <f t="shared" si="0"/>
        <v>600.96153846153845</v>
      </c>
      <c r="G7" s="541">
        <v>2.516</v>
      </c>
      <c r="H7" s="541"/>
      <c r="I7" s="541">
        <v>0.16800000000000001</v>
      </c>
      <c r="J7" s="247">
        <f t="shared" si="1"/>
        <v>1512.0192307692307</v>
      </c>
      <c r="K7" s="247">
        <f t="shared" si="2"/>
        <v>0</v>
      </c>
      <c r="L7" s="247">
        <f t="shared" si="3"/>
        <v>100.96153846153847</v>
      </c>
    </row>
    <row r="8" spans="1:12" ht="20.25" customHeight="1">
      <c r="A8" s="173">
        <v>3</v>
      </c>
      <c r="B8" s="394" t="s">
        <v>325</v>
      </c>
      <c r="C8" s="244" t="s">
        <v>323</v>
      </c>
      <c r="D8" s="244">
        <v>96</v>
      </c>
      <c r="E8" s="212">
        <f>'Gia_Dcu-Tbi-Vlieu'!E8</f>
        <v>2250000</v>
      </c>
      <c r="F8" s="246">
        <f t="shared" si="0"/>
        <v>901.44230769230774</v>
      </c>
      <c r="G8" s="541">
        <v>1.651</v>
      </c>
      <c r="H8" s="541"/>
      <c r="I8" s="541">
        <v>0.16800000000000001</v>
      </c>
      <c r="J8" s="247">
        <f t="shared" si="1"/>
        <v>1488.28125</v>
      </c>
      <c r="K8" s="247">
        <f t="shared" si="2"/>
        <v>0</v>
      </c>
      <c r="L8" s="247">
        <f t="shared" si="3"/>
        <v>151.44230769230771</v>
      </c>
    </row>
    <row r="9" spans="1:12" ht="20.25" customHeight="1">
      <c r="A9" s="173">
        <v>4</v>
      </c>
      <c r="B9" s="394" t="s">
        <v>328</v>
      </c>
      <c r="C9" s="244" t="s">
        <v>323</v>
      </c>
      <c r="D9" s="244">
        <v>12</v>
      </c>
      <c r="E9" s="212">
        <f>'Gia_Dcu-Tbi-Vlieu'!E11</f>
        <v>100000</v>
      </c>
      <c r="F9" s="246">
        <f t="shared" si="0"/>
        <v>320.51282051282055</v>
      </c>
      <c r="G9" s="541">
        <v>7.0000000000000001E-3</v>
      </c>
      <c r="H9" s="541"/>
      <c r="I9" s="541">
        <v>0.01</v>
      </c>
      <c r="J9" s="247">
        <f t="shared" si="1"/>
        <v>2.2435897435897441</v>
      </c>
      <c r="K9" s="247">
        <f t="shared" si="2"/>
        <v>0</v>
      </c>
      <c r="L9" s="247">
        <f t="shared" si="3"/>
        <v>3.2051282051282057</v>
      </c>
    </row>
    <row r="10" spans="1:12" ht="20.25" customHeight="1">
      <c r="A10" s="173">
        <v>5</v>
      </c>
      <c r="B10" s="394" t="s">
        <v>329</v>
      </c>
      <c r="C10" s="244" t="s">
        <v>323</v>
      </c>
      <c r="D10" s="244">
        <v>12</v>
      </c>
      <c r="E10" s="212">
        <f>'Gia_Dcu-Tbi-Vlieu'!E12</f>
        <v>37000</v>
      </c>
      <c r="F10" s="246">
        <f t="shared" si="0"/>
        <v>118.58974358974359</v>
      </c>
      <c r="G10" s="541">
        <v>3.5999999999999997E-2</v>
      </c>
      <c r="H10" s="541"/>
      <c r="I10" s="541">
        <v>5.0000000000000001E-3</v>
      </c>
      <c r="J10" s="247">
        <f t="shared" si="1"/>
        <v>4.2692307692307692</v>
      </c>
      <c r="K10" s="247">
        <f t="shared" si="2"/>
        <v>0</v>
      </c>
      <c r="L10" s="247">
        <f t="shared" si="3"/>
        <v>0.59294871794871795</v>
      </c>
    </row>
    <row r="11" spans="1:12" ht="20.25" customHeight="1">
      <c r="A11" s="173">
        <v>6</v>
      </c>
      <c r="B11" s="394" t="s">
        <v>330</v>
      </c>
      <c r="C11" s="244" t="s">
        <v>323</v>
      </c>
      <c r="D11" s="244">
        <v>12</v>
      </c>
      <c r="E11" s="212">
        <f>'Gia_Dcu-Tbi-Vlieu'!E13</f>
        <v>185000</v>
      </c>
      <c r="F11" s="246">
        <f t="shared" si="0"/>
        <v>592.9487179487179</v>
      </c>
      <c r="G11" s="541">
        <v>0.105</v>
      </c>
      <c r="H11" s="541"/>
      <c r="I11" s="541">
        <v>2E-3</v>
      </c>
      <c r="J11" s="247">
        <f t="shared" si="1"/>
        <v>62.25961538461538</v>
      </c>
      <c r="K11" s="247">
        <f t="shared" si="2"/>
        <v>0</v>
      </c>
      <c r="L11" s="247">
        <f t="shared" si="3"/>
        <v>1.1858974358974359</v>
      </c>
    </row>
    <row r="12" spans="1:12" ht="20.25" customHeight="1">
      <c r="A12" s="173">
        <v>7</v>
      </c>
      <c r="B12" s="394" t="s">
        <v>331</v>
      </c>
      <c r="C12" s="244" t="s">
        <v>323</v>
      </c>
      <c r="D12" s="244">
        <v>9</v>
      </c>
      <c r="E12" s="212">
        <f>'Gia_Dcu-Tbi-Vlieu'!E14</f>
        <v>46000</v>
      </c>
      <c r="F12" s="246">
        <f t="shared" si="0"/>
        <v>196.58119658119659</v>
      </c>
      <c r="G12" s="541">
        <v>0.05</v>
      </c>
      <c r="H12" s="541"/>
      <c r="I12" s="541">
        <v>1E-3</v>
      </c>
      <c r="J12" s="247">
        <f t="shared" si="1"/>
        <v>9.8290598290598297</v>
      </c>
      <c r="K12" s="247">
        <f t="shared" si="2"/>
        <v>0</v>
      </c>
      <c r="L12" s="247">
        <f t="shared" si="3"/>
        <v>0.1965811965811966</v>
      </c>
    </row>
    <row r="13" spans="1:12" ht="20.25" customHeight="1">
      <c r="A13" s="173">
        <v>8</v>
      </c>
      <c r="B13" s="394" t="s">
        <v>334</v>
      </c>
      <c r="C13" s="244" t="s">
        <v>323</v>
      </c>
      <c r="D13" s="244">
        <v>12</v>
      </c>
      <c r="E13" s="212">
        <f>'Gia_Dcu-Tbi-Vlieu'!E18</f>
        <v>11500</v>
      </c>
      <c r="F13" s="246">
        <f t="shared" si="0"/>
        <v>36.858974358974358</v>
      </c>
      <c r="G13" s="541">
        <v>0.106</v>
      </c>
      <c r="H13" s="541"/>
      <c r="I13" s="541">
        <v>2E-3</v>
      </c>
      <c r="J13" s="247">
        <f t="shared" si="1"/>
        <v>3.9070512820512819</v>
      </c>
      <c r="K13" s="247">
        <f t="shared" si="2"/>
        <v>0</v>
      </c>
      <c r="L13" s="247">
        <f t="shared" si="3"/>
        <v>7.371794871794872E-2</v>
      </c>
    </row>
    <row r="14" spans="1:12" ht="20.25" customHeight="1">
      <c r="A14" s="173">
        <v>9</v>
      </c>
      <c r="B14" s="394" t="s">
        <v>335</v>
      </c>
      <c r="C14" s="244" t="s">
        <v>323</v>
      </c>
      <c r="D14" s="244">
        <v>36</v>
      </c>
      <c r="E14" s="212">
        <f>'Gia_Dcu-Tbi-Vlieu'!E19</f>
        <v>2640000</v>
      </c>
      <c r="F14" s="246">
        <f t="shared" si="0"/>
        <v>2820.5128205128203</v>
      </c>
      <c r="G14" s="541">
        <v>0.98499999999999999</v>
      </c>
      <c r="H14" s="541"/>
      <c r="I14" s="541">
        <v>8.4000000000000005E-2</v>
      </c>
      <c r="J14" s="247">
        <f t="shared" si="1"/>
        <v>2778.2051282051279</v>
      </c>
      <c r="K14" s="247">
        <f t="shared" si="2"/>
        <v>0</v>
      </c>
      <c r="L14" s="247">
        <f t="shared" si="3"/>
        <v>236.92307692307693</v>
      </c>
    </row>
    <row r="15" spans="1:12" ht="20.25" customHeight="1">
      <c r="A15" s="173">
        <v>10</v>
      </c>
      <c r="B15" s="394" t="s">
        <v>336</v>
      </c>
      <c r="C15" s="244" t="s">
        <v>337</v>
      </c>
      <c r="D15" s="244">
        <v>30</v>
      </c>
      <c r="E15" s="212">
        <f>'Gia_Dcu-Tbi-Vlieu'!E20</f>
        <v>165000</v>
      </c>
      <c r="F15" s="246">
        <f t="shared" si="0"/>
        <v>211.53846153846155</v>
      </c>
      <c r="G15" s="541">
        <v>2.516</v>
      </c>
      <c r="H15" s="541"/>
      <c r="I15" s="541">
        <v>0.16800000000000001</v>
      </c>
      <c r="J15" s="247">
        <f t="shared" si="1"/>
        <v>532.23076923076928</v>
      </c>
      <c r="K15" s="247">
        <f t="shared" si="2"/>
        <v>0</v>
      </c>
      <c r="L15" s="247">
        <f t="shared" si="3"/>
        <v>35.53846153846154</v>
      </c>
    </row>
    <row r="16" spans="1:12" ht="20.25" customHeight="1">
      <c r="A16" s="173">
        <v>11</v>
      </c>
      <c r="B16" s="394" t="s">
        <v>17</v>
      </c>
      <c r="C16" s="244" t="s">
        <v>338</v>
      </c>
      <c r="D16" s="398">
        <v>1</v>
      </c>
      <c r="E16" s="212">
        <f>'Gia_Dcu-Tbi-Vlieu'!E21</f>
        <v>2226</v>
      </c>
      <c r="F16" s="246">
        <f>D16*E16</f>
        <v>2226</v>
      </c>
      <c r="G16" s="541">
        <v>1.593</v>
      </c>
      <c r="H16" s="541"/>
      <c r="I16" s="541">
        <v>0.121</v>
      </c>
      <c r="J16" s="247">
        <f>$F16*G16</f>
        <v>3546.018</v>
      </c>
      <c r="K16" s="247">
        <f t="shared" si="2"/>
        <v>0</v>
      </c>
      <c r="L16" s="247">
        <f t="shared" si="3"/>
        <v>269.346</v>
      </c>
    </row>
    <row r="17" spans="1:13" s="11" customFormat="1" ht="33.75" customHeight="1">
      <c r="A17" s="543"/>
      <c r="B17" s="177" t="s">
        <v>456</v>
      </c>
      <c r="C17" s="167"/>
      <c r="D17" s="168"/>
      <c r="E17" s="158"/>
      <c r="F17" s="169"/>
      <c r="G17" s="210"/>
      <c r="H17" s="210"/>
      <c r="I17" s="211">
        <v>1</v>
      </c>
      <c r="J17" s="170">
        <f>SUM(J6:J15)*$I17+J16</f>
        <v>10544.070617521367</v>
      </c>
      <c r="K17" s="170"/>
      <c r="L17" s="170">
        <f>SUM(L6:L15)*$I17+L16</f>
        <v>839.85027350427356</v>
      </c>
    </row>
    <row r="18" spans="1:13" ht="20.25" customHeight="1">
      <c r="A18" s="173"/>
      <c r="B18" s="159" t="s">
        <v>294</v>
      </c>
      <c r="C18" s="173"/>
      <c r="D18" s="174"/>
      <c r="E18" s="174"/>
      <c r="F18" s="175"/>
      <c r="G18" s="212"/>
      <c r="H18" s="174"/>
      <c r="I18" s="213"/>
      <c r="J18" s="213"/>
      <c r="K18" s="213"/>
      <c r="L18" s="212"/>
      <c r="M18" s="27"/>
    </row>
    <row r="19" spans="1:13" ht="20.25" customHeight="1">
      <c r="A19" s="173"/>
      <c r="B19" s="159" t="s">
        <v>587</v>
      </c>
      <c r="C19" s="173"/>
      <c r="D19" s="174"/>
      <c r="E19" s="174"/>
      <c r="F19" s="175"/>
      <c r="G19" s="212"/>
      <c r="H19" s="174"/>
      <c r="I19" s="213"/>
      <c r="J19" s="213"/>
      <c r="K19" s="213"/>
      <c r="L19" s="212"/>
      <c r="M19" s="27"/>
    </row>
    <row r="20" spans="1:13" s="11" customFormat="1" ht="20.25" customHeight="1">
      <c r="A20" s="167"/>
      <c r="B20" s="167" t="s">
        <v>119</v>
      </c>
      <c r="C20" s="177"/>
      <c r="D20" s="167"/>
      <c r="E20" s="526"/>
      <c r="F20" s="526"/>
      <c r="G20" s="526">
        <v>0.9</v>
      </c>
      <c r="H20" s="526"/>
      <c r="I20" s="526">
        <v>1</v>
      </c>
      <c r="J20" s="178">
        <f>G20*J$17</f>
        <v>9489.6635557692316</v>
      </c>
      <c r="K20" s="178">
        <f t="shared" ref="J20:L22" si="4">H20*K$17</f>
        <v>0</v>
      </c>
      <c r="L20" s="178">
        <f t="shared" si="4"/>
        <v>839.85027350427356</v>
      </c>
      <c r="M20" s="4"/>
    </row>
    <row r="21" spans="1:13" s="11" customFormat="1" ht="20.25" customHeight="1">
      <c r="A21" s="167"/>
      <c r="B21" s="167" t="s">
        <v>120</v>
      </c>
      <c r="C21" s="167"/>
      <c r="D21" s="167"/>
      <c r="E21" s="526"/>
      <c r="F21" s="526"/>
      <c r="G21" s="526">
        <v>1</v>
      </c>
      <c r="H21" s="526"/>
      <c r="I21" s="526">
        <v>1</v>
      </c>
      <c r="J21" s="178">
        <f t="shared" si="4"/>
        <v>10544.070617521367</v>
      </c>
      <c r="K21" s="178">
        <f t="shared" si="4"/>
        <v>0</v>
      </c>
      <c r="L21" s="178">
        <f t="shared" si="4"/>
        <v>839.85027350427356</v>
      </c>
      <c r="M21" s="4"/>
    </row>
    <row r="22" spans="1:13" s="11" customFormat="1" ht="20.25" customHeight="1">
      <c r="A22" s="167"/>
      <c r="B22" s="167" t="s">
        <v>121</v>
      </c>
      <c r="C22" s="167"/>
      <c r="D22" s="167"/>
      <c r="E22" s="526"/>
      <c r="F22" s="526"/>
      <c r="G22" s="526">
        <v>1.1000000000000001</v>
      </c>
      <c r="H22" s="526"/>
      <c r="I22" s="526">
        <v>1</v>
      </c>
      <c r="J22" s="178">
        <f t="shared" si="4"/>
        <v>11598.477679273505</v>
      </c>
      <c r="K22" s="178">
        <f t="shared" si="4"/>
        <v>0</v>
      </c>
      <c r="L22" s="178">
        <f t="shared" si="4"/>
        <v>839.85027350427356</v>
      </c>
      <c r="M22" s="4"/>
    </row>
    <row r="23" spans="1:13" ht="36.75" customHeight="1">
      <c r="A23" s="92"/>
      <c r="B23" s="1020" t="s">
        <v>374</v>
      </c>
      <c r="C23" s="1020"/>
      <c r="D23" s="1020"/>
      <c r="E23" s="1020"/>
      <c r="F23" s="145" t="s">
        <v>119</v>
      </c>
      <c r="G23" s="686">
        <v>1.6</v>
      </c>
      <c r="H23" s="686">
        <v>1.6</v>
      </c>
      <c r="I23" s="686">
        <v>1.6</v>
      </c>
      <c r="J23" s="687">
        <f>J20*G23</f>
        <v>15183.461689230771</v>
      </c>
      <c r="K23" s="687">
        <f t="shared" ref="J23:L25" si="5">K20*H23</f>
        <v>0</v>
      </c>
      <c r="L23" s="687">
        <f t="shared" si="5"/>
        <v>1343.7604376068377</v>
      </c>
    </row>
    <row r="24" spans="1:13" ht="33.75" customHeight="1">
      <c r="A24" s="28"/>
      <c r="B24" s="1021"/>
      <c r="C24" s="1021"/>
      <c r="D24" s="1021"/>
      <c r="E24" s="1021"/>
      <c r="F24" s="167" t="s">
        <v>120</v>
      </c>
      <c r="G24" s="213">
        <v>1.6</v>
      </c>
      <c r="H24" s="213">
        <v>1.6</v>
      </c>
      <c r="I24" s="213">
        <v>1.6</v>
      </c>
      <c r="J24" s="212">
        <f t="shared" si="5"/>
        <v>16870.512988034188</v>
      </c>
      <c r="K24" s="212">
        <f t="shared" si="5"/>
        <v>0</v>
      </c>
      <c r="L24" s="212">
        <f t="shared" si="5"/>
        <v>1343.7604376068377</v>
      </c>
    </row>
    <row r="25" spans="1:13" ht="27.75" customHeight="1">
      <c r="A25" s="28"/>
      <c r="B25" s="1021"/>
      <c r="C25" s="1021"/>
      <c r="D25" s="1021"/>
      <c r="E25" s="1021"/>
      <c r="F25" s="167" t="s">
        <v>121</v>
      </c>
      <c r="G25" s="213">
        <v>1.6</v>
      </c>
      <c r="H25" s="213">
        <v>1.6</v>
      </c>
      <c r="I25" s="213">
        <v>1.6</v>
      </c>
      <c r="J25" s="212">
        <f t="shared" si="5"/>
        <v>18557.564286837609</v>
      </c>
      <c r="K25" s="212">
        <f t="shared" si="5"/>
        <v>0</v>
      </c>
      <c r="L25" s="212">
        <f t="shared" si="5"/>
        <v>1343.7604376068377</v>
      </c>
    </row>
    <row r="26" spans="1:13" ht="21" customHeight="1">
      <c r="A26" s="28"/>
      <c r="B26" s="1022" t="s">
        <v>825</v>
      </c>
      <c r="C26" s="1023"/>
      <c r="D26" s="1023"/>
      <c r="E26" s="1024"/>
      <c r="F26" s="167" t="s">
        <v>591</v>
      </c>
      <c r="G26" s="527"/>
      <c r="H26" s="527"/>
      <c r="I26" s="527"/>
      <c r="J26" s="7"/>
      <c r="K26" s="212"/>
      <c r="L26" s="212"/>
    </row>
    <row r="27" spans="1:13" ht="21" customHeight="1">
      <c r="A27" s="28"/>
      <c r="B27" s="1048"/>
      <c r="C27" s="1049"/>
      <c r="D27" s="1049"/>
      <c r="E27" s="1050"/>
      <c r="F27" s="145" t="s">
        <v>119</v>
      </c>
      <c r="G27" s="527">
        <v>1.0029999999999999</v>
      </c>
      <c r="H27" s="527"/>
      <c r="I27" s="527">
        <v>1</v>
      </c>
      <c r="J27" s="212">
        <f>J20*G27</f>
        <v>9518.1325464365382</v>
      </c>
      <c r="K27" s="212"/>
      <c r="L27" s="212">
        <f>L20*I27</f>
        <v>839.85027350427356</v>
      </c>
    </row>
    <row r="28" spans="1:13" ht="21" customHeight="1">
      <c r="A28" s="28"/>
      <c r="B28" s="1048"/>
      <c r="C28" s="1049"/>
      <c r="D28" s="1049"/>
      <c r="E28" s="1050"/>
      <c r="F28" s="167" t="s">
        <v>120</v>
      </c>
      <c r="G28" s="527">
        <v>1.0029999999999999</v>
      </c>
      <c r="H28" s="527"/>
      <c r="I28" s="527">
        <v>1</v>
      </c>
      <c r="J28" s="212">
        <f t="shared" ref="J28:J29" si="6">J21*G28</f>
        <v>10575.702829373929</v>
      </c>
      <c r="K28" s="212"/>
      <c r="L28" s="212">
        <f t="shared" ref="L28:L29" si="7">L21*I28</f>
        <v>839.85027350427356</v>
      </c>
    </row>
    <row r="29" spans="1:13" ht="21" customHeight="1">
      <c r="A29" s="28"/>
      <c r="B29" s="1051"/>
      <c r="C29" s="1052"/>
      <c r="D29" s="1052"/>
      <c r="E29" s="1053"/>
      <c r="F29" s="167" t="s">
        <v>121</v>
      </c>
      <c r="G29" s="527">
        <v>1.0029999999999999</v>
      </c>
      <c r="H29" s="527"/>
      <c r="I29" s="527">
        <v>1</v>
      </c>
      <c r="J29" s="212">
        <f t="shared" si="6"/>
        <v>11633.273112311324</v>
      </c>
      <c r="K29" s="212"/>
      <c r="L29" s="212">
        <f t="shared" si="7"/>
        <v>839.85027350427356</v>
      </c>
    </row>
    <row r="30" spans="1:13" ht="48.65" customHeight="1">
      <c r="A30" s="28"/>
      <c r="B30" s="1021" t="s">
        <v>826</v>
      </c>
      <c r="C30" s="1021"/>
      <c r="D30" s="1021"/>
      <c r="E30" s="1021"/>
      <c r="F30" s="528"/>
      <c r="G30" s="213"/>
      <c r="H30" s="213"/>
      <c r="I30" s="213"/>
      <c r="J30" s="212"/>
      <c r="K30" s="212"/>
      <c r="L30" s="212"/>
    </row>
    <row r="31" spans="1:13">
      <c r="A31" s="28"/>
      <c r="B31" s="1021" t="s">
        <v>589</v>
      </c>
      <c r="C31" s="1021"/>
      <c r="D31" s="1021"/>
      <c r="E31" s="1021"/>
      <c r="F31" s="167" t="s">
        <v>119</v>
      </c>
      <c r="G31" s="213">
        <v>0.5</v>
      </c>
      <c r="H31" s="213">
        <v>0.5</v>
      </c>
      <c r="I31" s="213">
        <v>0.5</v>
      </c>
      <c r="J31" s="212">
        <f t="shared" ref="J31:L33" si="8">J20*G31</f>
        <v>4744.8317778846158</v>
      </c>
      <c r="K31" s="212">
        <f t="shared" si="8"/>
        <v>0</v>
      </c>
      <c r="L31" s="212">
        <f t="shared" si="8"/>
        <v>419.92513675213678</v>
      </c>
    </row>
    <row r="32" spans="1:13">
      <c r="A32" s="28"/>
      <c r="B32" s="1021"/>
      <c r="C32" s="1021"/>
      <c r="D32" s="1021"/>
      <c r="E32" s="1021"/>
      <c r="F32" s="167" t="s">
        <v>120</v>
      </c>
      <c r="G32" s="213">
        <v>0.5</v>
      </c>
      <c r="H32" s="213">
        <v>0.5</v>
      </c>
      <c r="I32" s="213">
        <v>0.5</v>
      </c>
      <c r="J32" s="212">
        <f t="shared" si="8"/>
        <v>5272.0353087606836</v>
      </c>
      <c r="K32" s="212">
        <f t="shared" si="8"/>
        <v>0</v>
      </c>
      <c r="L32" s="212">
        <f t="shared" si="8"/>
        <v>419.92513675213678</v>
      </c>
    </row>
    <row r="33" spans="1:12">
      <c r="A33" s="28"/>
      <c r="B33" s="1021"/>
      <c r="C33" s="1021"/>
      <c r="D33" s="1021"/>
      <c r="E33" s="1021"/>
      <c r="F33" s="167" t="s">
        <v>121</v>
      </c>
      <c r="G33" s="213">
        <v>0.5</v>
      </c>
      <c r="H33" s="213">
        <v>0.5</v>
      </c>
      <c r="I33" s="213">
        <v>0.5</v>
      </c>
      <c r="J33" s="212">
        <f t="shared" si="8"/>
        <v>5799.2388396367523</v>
      </c>
      <c r="K33" s="212">
        <f t="shared" si="8"/>
        <v>0</v>
      </c>
      <c r="L33" s="212">
        <f t="shared" si="8"/>
        <v>419.92513675213678</v>
      </c>
    </row>
    <row r="34" spans="1:12">
      <c r="A34" s="28"/>
      <c r="B34" s="1021" t="s">
        <v>590</v>
      </c>
      <c r="C34" s="1021"/>
      <c r="D34" s="1021"/>
      <c r="E34" s="1021"/>
      <c r="F34" s="167" t="s">
        <v>119</v>
      </c>
      <c r="G34" s="213">
        <v>0.9</v>
      </c>
      <c r="H34" s="213">
        <v>0.9</v>
      </c>
      <c r="I34" s="213">
        <v>0.9</v>
      </c>
      <c r="J34" s="212">
        <f t="shared" ref="J34:L36" si="9">J20*G34</f>
        <v>8540.6972001923095</v>
      </c>
      <c r="K34" s="212">
        <f t="shared" si="9"/>
        <v>0</v>
      </c>
      <c r="L34" s="212">
        <f t="shared" si="9"/>
        <v>755.86524615384621</v>
      </c>
    </row>
    <row r="35" spans="1:12">
      <c r="A35" s="28"/>
      <c r="B35" s="1021"/>
      <c r="C35" s="1021"/>
      <c r="D35" s="1021"/>
      <c r="E35" s="1021"/>
      <c r="F35" s="167" t="s">
        <v>120</v>
      </c>
      <c r="G35" s="213">
        <v>0.9</v>
      </c>
      <c r="H35" s="213">
        <v>0.9</v>
      </c>
      <c r="I35" s="213">
        <v>0.9</v>
      </c>
      <c r="J35" s="212">
        <f t="shared" si="9"/>
        <v>9489.6635557692316</v>
      </c>
      <c r="K35" s="212">
        <f t="shared" si="9"/>
        <v>0</v>
      </c>
      <c r="L35" s="212">
        <f t="shared" si="9"/>
        <v>755.86524615384621</v>
      </c>
    </row>
    <row r="36" spans="1:12">
      <c r="A36" s="28"/>
      <c r="B36" s="1021"/>
      <c r="C36" s="1021"/>
      <c r="D36" s="1021"/>
      <c r="E36" s="1021"/>
      <c r="F36" s="167" t="s">
        <v>121</v>
      </c>
      <c r="G36" s="213">
        <v>0.9</v>
      </c>
      <c r="H36" s="213">
        <v>0.9</v>
      </c>
      <c r="I36" s="213">
        <v>0.9</v>
      </c>
      <c r="J36" s="212">
        <f t="shared" si="9"/>
        <v>10438.629911346154</v>
      </c>
      <c r="K36" s="212">
        <f t="shared" si="9"/>
        <v>0</v>
      </c>
      <c r="L36" s="212">
        <f t="shared" si="9"/>
        <v>755.86524615384621</v>
      </c>
    </row>
    <row r="37" spans="1:12" ht="26.25" customHeight="1">
      <c r="A37" s="161"/>
      <c r="B37" s="1022" t="s">
        <v>827</v>
      </c>
      <c r="C37" s="1023"/>
      <c r="D37" s="1023"/>
      <c r="E37" s="1024"/>
      <c r="F37" s="167" t="s">
        <v>119</v>
      </c>
      <c r="G37" s="213">
        <v>0.2</v>
      </c>
      <c r="H37" s="213"/>
      <c r="I37" s="213">
        <v>0.3</v>
      </c>
      <c r="J37" s="212">
        <f>G37*J20</f>
        <v>1897.9327111538464</v>
      </c>
      <c r="K37" s="212"/>
      <c r="L37" s="212">
        <f>L20*I37</f>
        <v>251.95508205128206</v>
      </c>
    </row>
    <row r="38" spans="1:12" ht="26.25" customHeight="1">
      <c r="A38" s="161"/>
      <c r="B38" s="1025"/>
      <c r="C38" s="1026"/>
      <c r="D38" s="1026"/>
      <c r="E38" s="1027"/>
      <c r="F38" s="167" t="s">
        <v>120</v>
      </c>
      <c r="G38" s="213">
        <v>0.2</v>
      </c>
      <c r="H38" s="213"/>
      <c r="I38" s="213">
        <v>0.3</v>
      </c>
      <c r="J38" s="212">
        <f t="shared" ref="J38:J39" si="10">G38*J21</f>
        <v>2108.8141235042735</v>
      </c>
      <c r="K38" s="212"/>
      <c r="L38" s="212">
        <f t="shared" ref="L38:L39" si="11">L21*I38</f>
        <v>251.95508205128206</v>
      </c>
    </row>
    <row r="39" spans="1:12" ht="26.25" customHeight="1">
      <c r="A39" s="161"/>
      <c r="B39" s="1028"/>
      <c r="C39" s="1029"/>
      <c r="D39" s="1029"/>
      <c r="E39" s="1030"/>
      <c r="F39" s="167" t="s">
        <v>121</v>
      </c>
      <c r="G39" s="213">
        <v>0.2</v>
      </c>
      <c r="H39" s="213"/>
      <c r="I39" s="213">
        <v>0.3</v>
      </c>
      <c r="J39" s="212">
        <f t="shared" si="10"/>
        <v>2319.6955358547011</v>
      </c>
      <c r="K39" s="212"/>
      <c r="L39" s="212">
        <f t="shared" si="11"/>
        <v>251.95508205128206</v>
      </c>
    </row>
    <row r="40" spans="1:12">
      <c r="A40" s="161"/>
      <c r="B40" s="1031"/>
      <c r="C40" s="1031"/>
      <c r="D40" s="1031"/>
      <c r="E40" s="1031"/>
      <c r="F40" s="525"/>
      <c r="G40" s="523"/>
      <c r="H40" s="523"/>
      <c r="I40" s="523"/>
      <c r="J40" s="522"/>
      <c r="K40" s="534"/>
      <c r="L40" s="534" t="s">
        <v>426</v>
      </c>
    </row>
    <row r="41" spans="1:12" hidden="1">
      <c r="A41" s="117"/>
      <c r="B41" s="84"/>
      <c r="C41" s="85"/>
      <c r="D41" s="84"/>
      <c r="E41" s="84"/>
      <c r="F41" s="101"/>
      <c r="G41" s="102"/>
      <c r="H41" s="102"/>
      <c r="I41" s="102"/>
      <c r="J41" s="33"/>
      <c r="K41" s="33"/>
      <c r="L41" s="86"/>
    </row>
    <row r="42" spans="1:12" s="9" customFormat="1" ht="36.65" hidden="1" customHeight="1">
      <c r="A42" s="139" t="e">
        <f>L_CViec!#REF!</f>
        <v>#REF!</v>
      </c>
      <c r="B42" s="1037" t="e">
        <f>L_CViec!#REF!</f>
        <v>#REF!</v>
      </c>
      <c r="C42" s="1038"/>
      <c r="D42" s="1038"/>
      <c r="E42" s="1038"/>
      <c r="F42" s="1038"/>
      <c r="G42" s="1038"/>
      <c r="H42" s="1038"/>
      <c r="I42" s="1039"/>
      <c r="J42" s="137"/>
      <c r="K42" s="137"/>
      <c r="L42" s="138" t="s">
        <v>427</v>
      </c>
    </row>
    <row r="43" spans="1:12" hidden="1">
      <c r="A43" s="28"/>
      <c r="B43" s="29"/>
      <c r="C43" s="6"/>
      <c r="D43" s="6"/>
      <c r="E43" s="7"/>
      <c r="F43" s="35"/>
      <c r="G43" s="201"/>
      <c r="H43" s="201"/>
      <c r="I43" s="201"/>
      <c r="J43" s="79"/>
      <c r="K43" s="79"/>
      <c r="L43" s="13"/>
    </row>
    <row r="44" spans="1:12" hidden="1">
      <c r="A44" s="28">
        <v>2</v>
      </c>
      <c r="B44" s="29" t="s">
        <v>324</v>
      </c>
      <c r="C44" s="6" t="s">
        <v>323</v>
      </c>
      <c r="D44" s="6">
        <v>96</v>
      </c>
      <c r="E44" s="7">
        <f>'Gia_Dcu-Tbi-Vlieu'!$E$6</f>
        <v>600000</v>
      </c>
      <c r="F44" s="35">
        <f t="shared" ref="F44:F57" si="12">E44/D44/26</f>
        <v>240.38461538461539</v>
      </c>
      <c r="G44" s="201">
        <v>1.373</v>
      </c>
      <c r="H44" s="201">
        <v>1.143</v>
      </c>
      <c r="I44" s="201">
        <v>0.16800000000000001</v>
      </c>
      <c r="J44" s="79">
        <f t="shared" ref="J44:J58" si="13">$F44*G44</f>
        <v>330.04807692307691</v>
      </c>
      <c r="K44" s="79">
        <f>$F44*H44</f>
        <v>274.75961538461542</v>
      </c>
      <c r="L44" s="13">
        <f t="shared" ref="L44:L58" si="14">$F44*I44</f>
        <v>40.384615384615387</v>
      </c>
    </row>
    <row r="45" spans="1:12" hidden="1">
      <c r="A45" s="28">
        <v>3</v>
      </c>
      <c r="B45" s="29" t="s">
        <v>47</v>
      </c>
      <c r="C45" s="6" t="s">
        <v>323</v>
      </c>
      <c r="D45" s="6">
        <v>96</v>
      </c>
      <c r="E45" s="7">
        <f>'Gia_Dcu-Tbi-Vlieu'!$E$7</f>
        <v>1500000</v>
      </c>
      <c r="F45" s="35">
        <f t="shared" si="12"/>
        <v>600.96153846153845</v>
      </c>
      <c r="G45" s="201">
        <v>1.373</v>
      </c>
      <c r="H45" s="201">
        <v>1.143</v>
      </c>
      <c r="I45" s="201">
        <v>0.16800000000000001</v>
      </c>
      <c r="J45" s="79">
        <f t="shared" si="13"/>
        <v>825.12019230769226</v>
      </c>
      <c r="K45" s="79">
        <f>$F45*H45</f>
        <v>686.89903846153845</v>
      </c>
      <c r="L45" s="13">
        <f t="shared" si="14"/>
        <v>100.96153846153847</v>
      </c>
    </row>
    <row r="46" spans="1:12" hidden="1">
      <c r="A46" s="28">
        <v>4</v>
      </c>
      <c r="B46" s="29" t="s">
        <v>325</v>
      </c>
      <c r="C46" s="6" t="s">
        <v>323</v>
      </c>
      <c r="D46" s="6">
        <v>60</v>
      </c>
      <c r="E46" s="7">
        <f>'Gia_Dcu-Tbi-Vlieu'!$E$8</f>
        <v>2250000</v>
      </c>
      <c r="F46" s="35">
        <f t="shared" si="12"/>
        <v>1442.3076923076924</v>
      </c>
      <c r="G46" s="201">
        <v>0.74299999999999999</v>
      </c>
      <c r="H46" s="201">
        <v>0.90800000000000003</v>
      </c>
      <c r="I46" s="201">
        <v>0.16800000000000001</v>
      </c>
      <c r="J46" s="79">
        <f t="shared" si="13"/>
        <v>1071.6346153846155</v>
      </c>
      <c r="K46" s="79">
        <f>$F46*H46</f>
        <v>1309.6153846153848</v>
      </c>
      <c r="L46" s="13">
        <f t="shared" si="14"/>
        <v>242.30769230769232</v>
      </c>
    </row>
    <row r="47" spans="1:12" hidden="1">
      <c r="A47" s="28"/>
      <c r="B47" s="29"/>
      <c r="C47" s="6"/>
      <c r="D47" s="6"/>
      <c r="E47" s="7"/>
      <c r="F47" s="35"/>
      <c r="G47" s="201"/>
      <c r="H47" s="201"/>
      <c r="I47" s="201"/>
      <c r="J47" s="79"/>
      <c r="K47" s="79"/>
      <c r="L47" s="13"/>
    </row>
    <row r="48" spans="1:12" hidden="1">
      <c r="A48" s="28"/>
      <c r="B48" s="29"/>
      <c r="C48" s="6"/>
      <c r="D48" s="6"/>
      <c r="E48" s="7"/>
      <c r="F48" s="35"/>
      <c r="G48" s="201"/>
      <c r="H48" s="201"/>
      <c r="I48" s="201"/>
      <c r="J48" s="79"/>
      <c r="K48" s="79"/>
      <c r="L48" s="13"/>
    </row>
    <row r="49" spans="1:13" hidden="1">
      <c r="A49" s="28">
        <v>7</v>
      </c>
      <c r="B49" s="29" t="s">
        <v>328</v>
      </c>
      <c r="C49" s="6" t="s">
        <v>323</v>
      </c>
      <c r="D49" s="6">
        <v>12</v>
      </c>
      <c r="E49" s="7">
        <f>'Gia_Dcu-Tbi-Vlieu'!$E$11</f>
        <v>100000</v>
      </c>
      <c r="F49" s="35">
        <f t="shared" si="12"/>
        <v>320.51282051282055</v>
      </c>
      <c r="G49" s="201">
        <v>5.0000000000000001E-3</v>
      </c>
      <c r="H49" s="201">
        <v>2E-3</v>
      </c>
      <c r="I49" s="201">
        <v>1E-3</v>
      </c>
      <c r="J49" s="79">
        <f t="shared" si="13"/>
        <v>1.6025641025641029</v>
      </c>
      <c r="K49" s="79">
        <f>$F49*H49</f>
        <v>0.64102564102564108</v>
      </c>
      <c r="L49" s="13">
        <f t="shared" si="14"/>
        <v>0.32051282051282054</v>
      </c>
    </row>
    <row r="50" spans="1:13" hidden="1">
      <c r="A50" s="28">
        <v>8</v>
      </c>
      <c r="B50" s="29" t="s">
        <v>329</v>
      </c>
      <c r="C50" s="6" t="s">
        <v>323</v>
      </c>
      <c r="D50" s="6">
        <v>12</v>
      </c>
      <c r="E50" s="7">
        <f>'Gia_Dcu-Tbi-Vlieu'!$E$12</f>
        <v>37000</v>
      </c>
      <c r="F50" s="35">
        <f t="shared" si="12"/>
        <v>118.58974358974359</v>
      </c>
      <c r="G50" s="201">
        <v>2.5000000000000001E-2</v>
      </c>
      <c r="H50" s="201">
        <v>1.0999999999999999E-2</v>
      </c>
      <c r="I50" s="201">
        <v>5.0000000000000001E-3</v>
      </c>
      <c r="J50" s="79">
        <f t="shared" si="13"/>
        <v>2.9647435897435899</v>
      </c>
      <c r="K50" s="79">
        <f>$F50*H50</f>
        <v>1.3044871794871795</v>
      </c>
      <c r="L50" s="13">
        <f t="shared" si="14"/>
        <v>0.59294871794871795</v>
      </c>
    </row>
    <row r="51" spans="1:13" hidden="1">
      <c r="A51" s="28">
        <v>9</v>
      </c>
      <c r="B51" s="29" t="s">
        <v>330</v>
      </c>
      <c r="C51" s="6" t="s">
        <v>323</v>
      </c>
      <c r="D51" s="6">
        <v>12</v>
      </c>
      <c r="E51" s="7">
        <f>'Gia_Dcu-Tbi-Vlieu'!$E$13</f>
        <v>185000</v>
      </c>
      <c r="F51" s="35">
        <f t="shared" si="12"/>
        <v>592.9487179487179</v>
      </c>
      <c r="G51" s="201">
        <v>7.3999999999999996E-2</v>
      </c>
      <c r="H51" s="201">
        <v>3.1E-2</v>
      </c>
      <c r="I51" s="201">
        <v>2E-3</v>
      </c>
      <c r="J51" s="79">
        <f t="shared" si="13"/>
        <v>43.878205128205124</v>
      </c>
      <c r="K51" s="79">
        <f>$F51*H51</f>
        <v>18.381410256410255</v>
      </c>
      <c r="L51" s="13">
        <f t="shared" si="14"/>
        <v>1.1858974358974359</v>
      </c>
    </row>
    <row r="52" spans="1:13" hidden="1">
      <c r="A52" s="28">
        <v>10</v>
      </c>
      <c r="B52" s="29" t="s">
        <v>331</v>
      </c>
      <c r="C52" s="6" t="s">
        <v>323</v>
      </c>
      <c r="D52" s="6">
        <v>9</v>
      </c>
      <c r="E52" s="7">
        <f>'Gia_Dcu-Tbi-Vlieu'!$E$14</f>
        <v>46000</v>
      </c>
      <c r="F52" s="35">
        <f t="shared" si="12"/>
        <v>196.58119658119659</v>
      </c>
      <c r="G52" s="201">
        <v>3.5000000000000003E-2</v>
      </c>
      <c r="H52" s="201">
        <v>1.4999999999999999E-2</v>
      </c>
      <c r="I52" s="201">
        <v>1E-3</v>
      </c>
      <c r="J52" s="79">
        <f t="shared" si="13"/>
        <v>6.8803418803418817</v>
      </c>
      <c r="K52" s="79">
        <f>$F52*H52</f>
        <v>2.9487179487179489</v>
      </c>
      <c r="L52" s="13">
        <f t="shared" si="14"/>
        <v>0.1965811965811966</v>
      </c>
    </row>
    <row r="53" spans="1:13" hidden="1">
      <c r="A53" s="28"/>
      <c r="B53" s="29"/>
      <c r="C53" s="6"/>
      <c r="D53" s="6"/>
      <c r="E53" s="7"/>
      <c r="F53" s="35"/>
      <c r="G53" s="201"/>
      <c r="H53" s="201"/>
      <c r="I53" s="201"/>
      <c r="J53" s="79"/>
      <c r="K53" s="79"/>
      <c r="L53" s="13"/>
    </row>
    <row r="54" spans="1:13" hidden="1">
      <c r="A54" s="28"/>
      <c r="B54" s="29"/>
      <c r="C54" s="6"/>
      <c r="D54" s="6"/>
      <c r="E54" s="7"/>
      <c r="F54" s="35"/>
      <c r="G54" s="201"/>
      <c r="H54" s="201"/>
      <c r="I54" s="201"/>
      <c r="J54" s="79"/>
      <c r="K54" s="79"/>
      <c r="L54" s="13"/>
    </row>
    <row r="55" spans="1:13" hidden="1">
      <c r="A55" s="28">
        <v>13</v>
      </c>
      <c r="B55" s="29" t="s">
        <v>334</v>
      </c>
      <c r="C55" s="6" t="s">
        <v>323</v>
      </c>
      <c r="D55" s="6">
        <v>12</v>
      </c>
      <c r="E55" s="7">
        <f>'Gia_Dcu-Tbi-Vlieu'!$E$18</f>
        <v>11500</v>
      </c>
      <c r="F55" s="35">
        <f t="shared" si="12"/>
        <v>36.858974358974358</v>
      </c>
      <c r="G55" s="201">
        <v>7.3999999999999996E-2</v>
      </c>
      <c r="H55" s="201">
        <v>3.2000000000000001E-2</v>
      </c>
      <c r="I55" s="201">
        <v>2E-3</v>
      </c>
      <c r="J55" s="79">
        <f t="shared" si="13"/>
        <v>2.7275641025641022</v>
      </c>
      <c r="K55" s="79">
        <f>$F55*H55</f>
        <v>1.1794871794871795</v>
      </c>
      <c r="L55" s="13">
        <f t="shared" si="14"/>
        <v>7.371794871794872E-2</v>
      </c>
    </row>
    <row r="56" spans="1:13" hidden="1">
      <c r="A56" s="28">
        <v>14</v>
      </c>
      <c r="B56" s="29" t="s">
        <v>335</v>
      </c>
      <c r="C56" s="6" t="s">
        <v>323</v>
      </c>
      <c r="D56" s="6">
        <v>36</v>
      </c>
      <c r="E56" s="7">
        <f>'Gia_Dcu-Tbi-Vlieu'!$E$19</f>
        <v>2640000</v>
      </c>
      <c r="F56" s="35">
        <f t="shared" si="12"/>
        <v>2820.5128205128203</v>
      </c>
      <c r="G56" s="201">
        <v>0.53100000000000003</v>
      </c>
      <c r="H56" s="201">
        <v>0.45400000000000001</v>
      </c>
      <c r="I56" s="201">
        <v>8.4000000000000005E-2</v>
      </c>
      <c r="J56" s="79">
        <f>$F56*G56</f>
        <v>1497.6923076923076</v>
      </c>
      <c r="K56" s="79">
        <f>$F56*H56</f>
        <v>1280.5128205128206</v>
      </c>
      <c r="L56" s="13">
        <f t="shared" si="14"/>
        <v>236.92307692307693</v>
      </c>
    </row>
    <row r="57" spans="1:13" hidden="1">
      <c r="A57" s="28">
        <v>15</v>
      </c>
      <c r="B57" s="29" t="s">
        <v>336</v>
      </c>
      <c r="C57" s="6" t="s">
        <v>337</v>
      </c>
      <c r="D57" s="6">
        <v>30</v>
      </c>
      <c r="E57" s="7">
        <f>'Gia_Dcu-Tbi-Vlieu'!$E$20</f>
        <v>165000</v>
      </c>
      <c r="F57" s="35">
        <f t="shared" si="12"/>
        <v>211.53846153846155</v>
      </c>
      <c r="G57" s="201">
        <v>1.373</v>
      </c>
      <c r="H57" s="201">
        <v>1.143</v>
      </c>
      <c r="I57" s="201">
        <v>0.16800000000000001</v>
      </c>
      <c r="J57" s="79">
        <f t="shared" si="13"/>
        <v>290.44230769230768</v>
      </c>
      <c r="K57" s="79">
        <f>$F57*H57</f>
        <v>241.78846153846155</v>
      </c>
      <c r="L57" s="13">
        <f t="shared" si="14"/>
        <v>35.53846153846154</v>
      </c>
    </row>
    <row r="58" spans="1:13" s="30" customFormat="1" hidden="1">
      <c r="A58" s="151">
        <v>16</v>
      </c>
      <c r="B58" s="152" t="s">
        <v>17</v>
      </c>
      <c r="C58" s="122" t="s">
        <v>338</v>
      </c>
      <c r="D58" s="123">
        <v>1</v>
      </c>
      <c r="E58" s="153">
        <f>'Gia_Dcu-Tbi-Vlieu'!$E$21</f>
        <v>2226</v>
      </c>
      <c r="F58" s="154">
        <f>D58*E58</f>
        <v>2226</v>
      </c>
      <c r="G58" s="202">
        <v>0.86399999999999999</v>
      </c>
      <c r="H58" s="202">
        <v>0.72899999999999998</v>
      </c>
      <c r="I58" s="202">
        <v>0.121</v>
      </c>
      <c r="J58" s="155">
        <f t="shared" si="13"/>
        <v>1923.2639999999999</v>
      </c>
      <c r="K58" s="155">
        <f>$F58*H58</f>
        <v>1622.7539999999999</v>
      </c>
      <c r="L58" s="156">
        <f t="shared" si="14"/>
        <v>269.346</v>
      </c>
    </row>
    <row r="59" spans="1:13" s="11" customFormat="1" ht="15" hidden="1">
      <c r="A59" s="143"/>
      <c r="B59" s="144" t="s">
        <v>456</v>
      </c>
      <c r="C59" s="145"/>
      <c r="D59" s="146"/>
      <c r="E59" s="147"/>
      <c r="F59" s="148"/>
      <c r="G59" s="203"/>
      <c r="H59" s="203"/>
      <c r="I59" s="204">
        <v>1</v>
      </c>
      <c r="J59" s="149">
        <f>SUM(J43:J57)*$I59</f>
        <v>4072.9909188034185</v>
      </c>
      <c r="K59" s="149">
        <f>SUM(K43:K57)*$I59</f>
        <v>3818.0304487179487</v>
      </c>
      <c r="L59" s="150">
        <f>SUM(L43:L57)*$I59</f>
        <v>658.48504273504284</v>
      </c>
    </row>
    <row r="60" spans="1:13" hidden="1">
      <c r="A60" s="92"/>
      <c r="B60" s="140" t="s">
        <v>294</v>
      </c>
      <c r="C60" s="94"/>
      <c r="D60" s="93"/>
      <c r="E60" s="93"/>
      <c r="F60" s="141"/>
      <c r="G60" s="157"/>
      <c r="H60" s="93"/>
      <c r="I60" s="205"/>
      <c r="J60" s="205"/>
      <c r="K60" s="205"/>
      <c r="L60" s="142"/>
      <c r="M60" s="27"/>
    </row>
    <row r="61" spans="1:13" hidden="1">
      <c r="A61" s="28"/>
      <c r="B61" s="97" t="s">
        <v>428</v>
      </c>
      <c r="C61" s="90"/>
      <c r="D61" s="89"/>
      <c r="E61" s="89"/>
      <c r="F61" s="98"/>
      <c r="G61" s="7"/>
      <c r="H61" s="89"/>
      <c r="I61" s="206"/>
      <c r="J61" s="206"/>
      <c r="K61" s="206"/>
      <c r="L61" s="83"/>
      <c r="M61" s="27"/>
    </row>
    <row r="62" spans="1:13" s="11" customFormat="1" ht="15" hidden="1">
      <c r="A62" s="116"/>
      <c r="B62" s="8" t="s">
        <v>120</v>
      </c>
      <c r="C62" s="81"/>
      <c r="D62" s="8"/>
      <c r="E62" s="106"/>
      <c r="F62" s="106"/>
      <c r="G62" s="106">
        <v>0.9</v>
      </c>
      <c r="H62" s="106">
        <v>1</v>
      </c>
      <c r="I62" s="106">
        <v>1</v>
      </c>
      <c r="J62" s="80">
        <f t="shared" ref="J62:J71" si="15">G62*J$59</f>
        <v>3665.6918269230769</v>
      </c>
      <c r="K62" s="80">
        <f t="shared" ref="K62:K71" si="16">H62*K$59</f>
        <v>3818.0304487179487</v>
      </c>
      <c r="L62" s="14">
        <f t="shared" ref="L62:L71" si="17">I62*L$59</f>
        <v>658.48504273504284</v>
      </c>
    </row>
    <row r="63" spans="1:13" s="11" customFormat="1" ht="15" hidden="1">
      <c r="A63" s="116"/>
      <c r="B63" s="8" t="s">
        <v>121</v>
      </c>
      <c r="C63" s="8"/>
      <c r="D63" s="8"/>
      <c r="E63" s="106"/>
      <c r="F63" s="106"/>
      <c r="G63" s="106">
        <v>1</v>
      </c>
      <c r="H63" s="106">
        <v>1</v>
      </c>
      <c r="I63" s="106">
        <v>1</v>
      </c>
      <c r="J63" s="80">
        <f t="shared" si="15"/>
        <v>4072.9909188034185</v>
      </c>
      <c r="K63" s="80">
        <f t="shared" si="16"/>
        <v>3818.0304487179487</v>
      </c>
      <c r="L63" s="14">
        <f t="shared" si="17"/>
        <v>658.48504273504284</v>
      </c>
    </row>
    <row r="64" spans="1:13" s="11" customFormat="1" ht="15" hidden="1">
      <c r="A64" s="116"/>
      <c r="B64" s="8" t="s">
        <v>375</v>
      </c>
      <c r="C64" s="8"/>
      <c r="D64" s="8"/>
      <c r="E64" s="106"/>
      <c r="F64" s="106"/>
      <c r="G64" s="106">
        <v>1.1000000000000001</v>
      </c>
      <c r="H64" s="106">
        <v>1</v>
      </c>
      <c r="I64" s="106">
        <v>1</v>
      </c>
      <c r="J64" s="80">
        <f t="shared" si="15"/>
        <v>4480.2900106837606</v>
      </c>
      <c r="K64" s="80">
        <f t="shared" si="16"/>
        <v>3818.0304487179487</v>
      </c>
      <c r="L64" s="14">
        <f t="shared" si="17"/>
        <v>658.48504273504284</v>
      </c>
    </row>
    <row r="65" spans="1:14" s="11" customFormat="1" ht="15" hidden="1">
      <c r="A65" s="118"/>
      <c r="B65" s="8" t="s">
        <v>376</v>
      </c>
      <c r="C65" s="103"/>
      <c r="D65" s="97"/>
      <c r="E65" s="97"/>
      <c r="F65" s="104"/>
      <c r="G65" s="106">
        <v>1.2</v>
      </c>
      <c r="H65" s="106">
        <v>1</v>
      </c>
      <c r="I65" s="106">
        <v>1</v>
      </c>
      <c r="J65" s="10">
        <f t="shared" si="15"/>
        <v>4887.5891025641022</v>
      </c>
      <c r="K65" s="10">
        <f t="shared" si="16"/>
        <v>3818.0304487179487</v>
      </c>
      <c r="L65" s="105">
        <f t="shared" si="17"/>
        <v>658.48504273504284</v>
      </c>
    </row>
    <row r="66" spans="1:14" ht="95.25" hidden="1" customHeight="1">
      <c r="A66" s="28"/>
      <c r="B66" s="1008" t="s">
        <v>374</v>
      </c>
      <c r="C66" s="1009"/>
      <c r="D66" s="1009"/>
      <c r="E66" s="1009"/>
      <c r="F66" s="1010"/>
      <c r="G66" s="206">
        <v>1.6</v>
      </c>
      <c r="H66" s="206">
        <v>1.6</v>
      </c>
      <c r="I66" s="206">
        <v>1.6</v>
      </c>
      <c r="J66" s="7">
        <f t="shared" si="15"/>
        <v>6516.7854700854696</v>
      </c>
      <c r="K66" s="7">
        <f t="shared" si="16"/>
        <v>6108.8487179487183</v>
      </c>
      <c r="L66" s="83">
        <f t="shared" si="17"/>
        <v>1053.5760683760686</v>
      </c>
    </row>
    <row r="67" spans="1:14" ht="42.75" hidden="1" customHeight="1">
      <c r="A67" s="28"/>
      <c r="B67" s="1008" t="s">
        <v>377</v>
      </c>
      <c r="C67" s="1009"/>
      <c r="D67" s="1009"/>
      <c r="E67" s="1009"/>
      <c r="F67" s="1010"/>
      <c r="G67" s="207">
        <v>1.0029999999999999</v>
      </c>
      <c r="H67" s="207">
        <v>1.0029999999999999</v>
      </c>
      <c r="I67" s="207">
        <v>1.0029999999999999</v>
      </c>
      <c r="J67" s="7">
        <f t="shared" si="15"/>
        <v>4085.2098915598285</v>
      </c>
      <c r="K67" s="7">
        <f t="shared" si="16"/>
        <v>3829.484540064102</v>
      </c>
      <c r="L67" s="83">
        <f t="shared" si="17"/>
        <v>660.46049786324795</v>
      </c>
    </row>
    <row r="68" spans="1:14" ht="56.25" hidden="1" customHeight="1">
      <c r="A68" s="28"/>
      <c r="B68" s="1008" t="s">
        <v>378</v>
      </c>
      <c r="C68" s="1009"/>
      <c r="D68" s="1009"/>
      <c r="E68" s="1009"/>
      <c r="F68" s="1010"/>
      <c r="G68" s="206"/>
      <c r="H68" s="206"/>
      <c r="I68" s="206"/>
      <c r="J68" s="7">
        <f t="shared" si="15"/>
        <v>0</v>
      </c>
      <c r="K68" s="7">
        <f t="shared" si="16"/>
        <v>0</v>
      </c>
      <c r="L68" s="83">
        <f t="shared" si="17"/>
        <v>0</v>
      </c>
    </row>
    <row r="69" spans="1:14" ht="39" hidden="1" customHeight="1">
      <c r="A69" s="28"/>
      <c r="B69" s="1008" t="s">
        <v>379</v>
      </c>
      <c r="C69" s="1009"/>
      <c r="D69" s="1009"/>
      <c r="E69" s="1009"/>
      <c r="F69" s="1010"/>
      <c r="G69" s="206">
        <v>0.5</v>
      </c>
      <c r="H69" s="206">
        <v>0.5</v>
      </c>
      <c r="I69" s="206">
        <v>0.5</v>
      </c>
      <c r="J69" s="7">
        <f t="shared" si="15"/>
        <v>2036.4954594017092</v>
      </c>
      <c r="K69" s="7">
        <f t="shared" si="16"/>
        <v>1909.0152243589744</v>
      </c>
      <c r="L69" s="83">
        <f t="shared" si="17"/>
        <v>329.24252136752142</v>
      </c>
    </row>
    <row r="70" spans="1:14" ht="51.75" hidden="1" customHeight="1">
      <c r="A70" s="28"/>
      <c r="B70" s="1008" t="s">
        <v>380</v>
      </c>
      <c r="C70" s="1009"/>
      <c r="D70" s="1009"/>
      <c r="E70" s="1009"/>
      <c r="F70" s="1010"/>
      <c r="G70" s="206">
        <v>0.9</v>
      </c>
      <c r="H70" s="206">
        <v>0.9</v>
      </c>
      <c r="I70" s="206">
        <v>0.9</v>
      </c>
      <c r="J70" s="7">
        <f t="shared" si="15"/>
        <v>3665.6918269230769</v>
      </c>
      <c r="K70" s="7">
        <f t="shared" si="16"/>
        <v>3436.2274038461537</v>
      </c>
      <c r="L70" s="83">
        <f t="shared" si="17"/>
        <v>592.63653846153852</v>
      </c>
    </row>
    <row r="71" spans="1:14" ht="69.75" hidden="1" customHeight="1">
      <c r="A71" s="28"/>
      <c r="B71" s="1008" t="s">
        <v>381</v>
      </c>
      <c r="C71" s="1009"/>
      <c r="D71" s="1009"/>
      <c r="E71" s="1009"/>
      <c r="F71" s="1010"/>
      <c r="G71" s="206">
        <v>0.3</v>
      </c>
      <c r="H71" s="206">
        <v>0.3</v>
      </c>
      <c r="I71" s="206">
        <v>0.3</v>
      </c>
      <c r="J71" s="7">
        <f t="shared" si="15"/>
        <v>1221.8972756410255</v>
      </c>
      <c r="K71" s="7">
        <f t="shared" si="16"/>
        <v>1145.4091346153846</v>
      </c>
      <c r="L71" s="83">
        <f t="shared" si="17"/>
        <v>197.54551282051284</v>
      </c>
    </row>
    <row r="72" spans="1:14" ht="16" hidden="1" thickBot="1">
      <c r="A72" s="161"/>
      <c r="B72" s="688"/>
      <c r="C72" s="689"/>
      <c r="D72" s="688"/>
      <c r="E72" s="688"/>
      <c r="F72" s="690"/>
      <c r="G72" s="691"/>
      <c r="H72" s="691"/>
      <c r="I72" s="691"/>
      <c r="J72" s="133"/>
      <c r="K72" s="133"/>
      <c r="L72" s="521"/>
    </row>
    <row r="73" spans="1:14" s="77" customFormat="1" ht="15.65" customHeight="1">
      <c r="A73" s="987" t="s">
        <v>23</v>
      </c>
      <c r="B73" s="987" t="s">
        <v>2</v>
      </c>
      <c r="C73" s="987" t="s">
        <v>38</v>
      </c>
      <c r="D73" s="987" t="s">
        <v>110</v>
      </c>
      <c r="E73" s="987" t="s">
        <v>30</v>
      </c>
      <c r="F73" s="1012" t="s">
        <v>27</v>
      </c>
      <c r="G73" s="1013" t="s">
        <v>318</v>
      </c>
      <c r="H73" s="1013"/>
      <c r="I73" s="1013"/>
      <c r="J73" s="1013"/>
      <c r="K73" s="1014" t="s">
        <v>35</v>
      </c>
      <c r="L73" s="1014"/>
      <c r="M73" s="4"/>
      <c r="N73" s="4"/>
    </row>
    <row r="74" spans="1:14" s="77" customFormat="1" ht="47.5" customHeight="1">
      <c r="A74" s="987"/>
      <c r="B74" s="987"/>
      <c r="C74" s="987"/>
      <c r="D74" s="987"/>
      <c r="E74" s="987"/>
      <c r="F74" s="1012"/>
      <c r="G74" s="1013" t="s">
        <v>693</v>
      </c>
      <c r="H74" s="1013"/>
      <c r="I74" s="1013"/>
      <c r="J74" s="1013"/>
      <c r="K74" s="1013" t="s">
        <v>693</v>
      </c>
      <c r="L74" s="1013"/>
      <c r="M74" s="4"/>
      <c r="N74" s="4"/>
    </row>
    <row r="75" spans="1:14" s="77" customFormat="1" ht="57" hidden="1" customHeight="1">
      <c r="A75" s="987"/>
      <c r="B75" s="987"/>
      <c r="C75" s="987"/>
      <c r="D75" s="987"/>
      <c r="E75" s="987"/>
      <c r="F75" s="1012"/>
      <c r="G75" s="537" t="s">
        <v>319</v>
      </c>
      <c r="H75" s="537" t="s">
        <v>320</v>
      </c>
      <c r="I75" s="537" t="s">
        <v>319</v>
      </c>
      <c r="J75" s="537"/>
      <c r="K75" s="1014" t="s">
        <v>319</v>
      </c>
      <c r="L75" s="1014"/>
      <c r="M75" s="4"/>
      <c r="N75" s="4"/>
    </row>
    <row r="76" spans="1:14" s="9" customFormat="1" ht="39.75" customHeight="1">
      <c r="A76" s="236" t="str">
        <f>L_CViec!A91</f>
        <v>II</v>
      </c>
      <c r="B76" s="1032" t="str">
        <f>L_CViec!B91</f>
        <v>Đăng ký, cấp Giấy chứng nhận lần đầu đơn lẻ đối với hộ gia đình, cá nhân, cộng đồng dân cư, tổ chức trong nước, người gốc Việt Nam định cư ở nước ngoài tại địa bàn xã, phường</v>
      </c>
      <c r="C76" s="1032"/>
      <c r="D76" s="1032"/>
      <c r="E76" s="1032"/>
      <c r="F76" s="1032"/>
      <c r="G76" s="1032"/>
      <c r="H76" s="1032"/>
      <c r="I76" s="1032"/>
      <c r="J76" s="535"/>
      <c r="K76" s="692"/>
      <c r="L76" s="692"/>
      <c r="M76" s="4"/>
      <c r="N76" s="4"/>
    </row>
    <row r="77" spans="1:14" ht="22.5" customHeight="1">
      <c r="A77" s="173">
        <v>1</v>
      </c>
      <c r="B77" s="394" t="s">
        <v>324</v>
      </c>
      <c r="C77" s="244" t="s">
        <v>323</v>
      </c>
      <c r="D77" s="244">
        <v>96</v>
      </c>
      <c r="E77" s="212">
        <f>'Gia_Dcu-Tbi-Vlieu'!$E$6</f>
        <v>600000</v>
      </c>
      <c r="F77" s="246">
        <f t="shared" ref="F77:F84" si="18">E77/D77/26</f>
        <v>240.38461538461539</v>
      </c>
      <c r="G77" s="527">
        <v>3.14</v>
      </c>
      <c r="H77" s="527"/>
      <c r="I77" s="541"/>
      <c r="J77" s="541"/>
      <c r="K77" s="247">
        <f t="shared" ref="K77:K85" si="19">$F77*G77</f>
        <v>754.80769230769238</v>
      </c>
      <c r="L77" s="247"/>
    </row>
    <row r="78" spans="1:14" ht="22.5" customHeight="1">
      <c r="A78" s="173">
        <v>2</v>
      </c>
      <c r="B78" s="394" t="s">
        <v>47</v>
      </c>
      <c r="C78" s="244" t="s">
        <v>323</v>
      </c>
      <c r="D78" s="244">
        <v>96</v>
      </c>
      <c r="E78" s="212">
        <f>'Gia_Dcu-Tbi-Vlieu'!$E$7</f>
        <v>1500000</v>
      </c>
      <c r="F78" s="246">
        <f t="shared" si="18"/>
        <v>600.96153846153845</v>
      </c>
      <c r="G78" s="527">
        <v>3.41</v>
      </c>
      <c r="H78" s="527"/>
      <c r="I78" s="541"/>
      <c r="J78" s="541"/>
      <c r="K78" s="247">
        <f t="shared" si="19"/>
        <v>2049.2788461538462</v>
      </c>
      <c r="L78" s="247"/>
    </row>
    <row r="79" spans="1:14" ht="22.5" customHeight="1">
      <c r="A79" s="173">
        <v>3</v>
      </c>
      <c r="B79" s="394" t="s">
        <v>325</v>
      </c>
      <c r="C79" s="244" t="s">
        <v>323</v>
      </c>
      <c r="D79" s="244">
        <v>96</v>
      </c>
      <c r="E79" s="212">
        <f>'Gia_Dcu-Tbi-Vlieu'!$E$8</f>
        <v>2250000</v>
      </c>
      <c r="F79" s="246">
        <f t="shared" si="18"/>
        <v>901.44230769230774</v>
      </c>
      <c r="G79" s="527">
        <v>2.74</v>
      </c>
      <c r="H79" s="527"/>
      <c r="I79" s="541"/>
      <c r="J79" s="541"/>
      <c r="K79" s="247">
        <f t="shared" si="19"/>
        <v>2469.9519230769233</v>
      </c>
      <c r="L79" s="247"/>
    </row>
    <row r="80" spans="1:14" ht="22.5" customHeight="1">
      <c r="A80" s="173">
        <v>4</v>
      </c>
      <c r="B80" s="394" t="s">
        <v>329</v>
      </c>
      <c r="C80" s="244" t="s">
        <v>323</v>
      </c>
      <c r="D80" s="244">
        <v>12</v>
      </c>
      <c r="E80" s="212">
        <f>'Gia_Dcu-Tbi-Vlieu'!$E$12</f>
        <v>37000</v>
      </c>
      <c r="F80" s="246">
        <f t="shared" si="18"/>
        <v>118.58974358974359</v>
      </c>
      <c r="G80" s="527">
        <v>0.02</v>
      </c>
      <c r="H80" s="527"/>
      <c r="I80" s="541"/>
      <c r="J80" s="541" t="s">
        <v>574</v>
      </c>
      <c r="K80" s="247">
        <f t="shared" si="19"/>
        <v>2.3717948717948718</v>
      </c>
      <c r="L80" s="247"/>
    </row>
    <row r="81" spans="1:14" ht="22.5" customHeight="1">
      <c r="A81" s="173">
        <v>5</v>
      </c>
      <c r="B81" s="394" t="s">
        <v>331</v>
      </c>
      <c r="C81" s="244" t="s">
        <v>323</v>
      </c>
      <c r="D81" s="244">
        <v>9</v>
      </c>
      <c r="E81" s="212">
        <f>'Gia_Dcu-Tbi-Vlieu'!$E$14</f>
        <v>46000</v>
      </c>
      <c r="F81" s="246">
        <f t="shared" si="18"/>
        <v>196.58119658119659</v>
      </c>
      <c r="G81" s="527">
        <v>1.4999999999999999E-2</v>
      </c>
      <c r="H81" s="527"/>
      <c r="I81" s="541"/>
      <c r="J81" s="541"/>
      <c r="K81" s="247">
        <f t="shared" si="19"/>
        <v>2.9487179487179489</v>
      </c>
      <c r="L81" s="247"/>
    </row>
    <row r="82" spans="1:14" ht="22.5" customHeight="1">
      <c r="A82" s="173">
        <v>6</v>
      </c>
      <c r="B82" s="394" t="s">
        <v>334</v>
      </c>
      <c r="C82" s="244" t="s">
        <v>323</v>
      </c>
      <c r="D82" s="244">
        <v>12</v>
      </c>
      <c r="E82" s="212">
        <f>'Gia_Dcu-Tbi-Vlieu'!$E$18</f>
        <v>11500</v>
      </c>
      <c r="F82" s="246">
        <f t="shared" si="18"/>
        <v>36.858974358974358</v>
      </c>
      <c r="G82" s="527">
        <v>0.1</v>
      </c>
      <c r="H82" s="527"/>
      <c r="I82" s="541"/>
      <c r="J82" s="541"/>
      <c r="K82" s="247">
        <f t="shared" si="19"/>
        <v>3.6858974358974361</v>
      </c>
      <c r="L82" s="247"/>
    </row>
    <row r="83" spans="1:14" ht="22.5" customHeight="1">
      <c r="A83" s="173">
        <v>7</v>
      </c>
      <c r="B83" s="394" t="s">
        <v>335</v>
      </c>
      <c r="C83" s="244" t="s">
        <v>323</v>
      </c>
      <c r="D83" s="244">
        <v>36</v>
      </c>
      <c r="E83" s="212">
        <f>'Gia_Dcu-Tbi-Vlieu'!$E$19</f>
        <v>2640000</v>
      </c>
      <c r="F83" s="246">
        <f t="shared" si="18"/>
        <v>2820.5128205128203</v>
      </c>
      <c r="G83" s="527">
        <v>1.8</v>
      </c>
      <c r="H83" s="527"/>
      <c r="I83" s="541"/>
      <c r="J83" s="541"/>
      <c r="K83" s="247">
        <f t="shared" si="19"/>
        <v>5076.9230769230771</v>
      </c>
      <c r="L83" s="247"/>
    </row>
    <row r="84" spans="1:14" ht="22.5" customHeight="1">
      <c r="A84" s="173">
        <v>8</v>
      </c>
      <c r="B84" s="394" t="s">
        <v>336</v>
      </c>
      <c r="C84" s="244" t="s">
        <v>337</v>
      </c>
      <c r="D84" s="244">
        <v>30</v>
      </c>
      <c r="E84" s="212">
        <f>'Gia_Dcu-Tbi-Vlieu'!$E$20</f>
        <v>165000</v>
      </c>
      <c r="F84" s="246">
        <f t="shared" si="18"/>
        <v>211.53846153846155</v>
      </c>
      <c r="G84" s="527">
        <v>2.74</v>
      </c>
      <c r="H84" s="527"/>
      <c r="I84" s="541"/>
      <c r="J84" s="541"/>
      <c r="K84" s="247">
        <f t="shared" si="19"/>
        <v>579.61538461538464</v>
      </c>
      <c r="L84" s="247"/>
    </row>
    <row r="85" spans="1:14" ht="22.5" customHeight="1">
      <c r="A85" s="173">
        <v>9</v>
      </c>
      <c r="B85" s="394" t="s">
        <v>17</v>
      </c>
      <c r="C85" s="244" t="s">
        <v>338</v>
      </c>
      <c r="D85" s="398">
        <v>1</v>
      </c>
      <c r="E85" s="212">
        <f>'Gia_Dcu-Tbi-Vlieu'!$E$21</f>
        <v>2226</v>
      </c>
      <c r="F85" s="246">
        <f>D85*E85</f>
        <v>2226</v>
      </c>
      <c r="G85" s="527">
        <v>2.3170000000000002</v>
      </c>
      <c r="H85" s="527"/>
      <c r="I85" s="541"/>
      <c r="J85" s="247"/>
      <c r="K85" s="247">
        <f t="shared" si="19"/>
        <v>5157.6420000000007</v>
      </c>
      <c r="L85" s="247"/>
      <c r="M85" s="4">
        <f>$F85*I85</f>
        <v>0</v>
      </c>
    </row>
    <row r="86" spans="1:14" s="11" customFormat="1" ht="34.5" customHeight="1">
      <c r="A86" s="543"/>
      <c r="B86" s="177" t="s">
        <v>691</v>
      </c>
      <c r="C86" s="1007">
        <v>1</v>
      </c>
      <c r="D86" s="1007"/>
      <c r="E86" s="1007"/>
      <c r="F86" s="1007"/>
      <c r="G86" s="1007"/>
      <c r="H86" s="1007"/>
      <c r="I86" s="211"/>
      <c r="J86" s="170"/>
      <c r="K86" s="170">
        <f>SUM(K77:K84)*C86+K85</f>
        <v>16097.225333333336</v>
      </c>
      <c r="L86" s="170">
        <f>SUM(L77:L84)*$I86</f>
        <v>0</v>
      </c>
      <c r="M86" s="4">
        <f>SUM(M77:M84)*$I86</f>
        <v>0</v>
      </c>
      <c r="N86" s="4">
        <f>SUM(N77:N84)*$I86</f>
        <v>0</v>
      </c>
    </row>
    <row r="87" spans="1:14" ht="22.5" customHeight="1">
      <c r="A87" s="92"/>
      <c r="B87" s="140" t="s">
        <v>294</v>
      </c>
      <c r="C87" s="94"/>
      <c r="D87" s="93"/>
      <c r="E87" s="93"/>
      <c r="F87" s="141"/>
      <c r="G87" s="157"/>
      <c r="H87" s="93"/>
      <c r="I87" s="205"/>
      <c r="J87" s="205"/>
      <c r="K87" s="205"/>
      <c r="L87" s="160"/>
    </row>
    <row r="88" spans="1:14" ht="22.5" customHeight="1">
      <c r="A88" s="28"/>
      <c r="B88" s="1008" t="s">
        <v>382</v>
      </c>
      <c r="C88" s="1009"/>
      <c r="D88" s="1009"/>
      <c r="E88" s="1009"/>
      <c r="F88" s="1010"/>
      <c r="G88" s="7"/>
      <c r="H88" s="89"/>
      <c r="I88" s="89"/>
      <c r="J88" s="206"/>
      <c r="K88" s="206">
        <f>K86</f>
        <v>16097.225333333336</v>
      </c>
      <c r="L88" s="206"/>
    </row>
    <row r="89" spans="1:14" s="11" customFormat="1" ht="51.75" customHeight="1">
      <c r="A89" s="161"/>
      <c r="B89" s="1017" t="s">
        <v>694</v>
      </c>
      <c r="C89" s="1018"/>
      <c r="D89" s="1018"/>
      <c r="E89" s="1018"/>
      <c r="F89" s="1019"/>
      <c r="G89" s="536">
        <v>1.3</v>
      </c>
      <c r="H89" s="536"/>
      <c r="I89" s="536"/>
      <c r="J89" s="536"/>
      <c r="K89" s="133">
        <f>G89*K86</f>
        <v>20926.392933333336</v>
      </c>
      <c r="L89" s="133">
        <f>H89*L86</f>
        <v>0</v>
      </c>
      <c r="M89" s="4">
        <f>I89*M86</f>
        <v>0</v>
      </c>
      <c r="N89" s="4">
        <f>J89*N86</f>
        <v>0</v>
      </c>
    </row>
    <row r="90" spans="1:14" s="11" customFormat="1" ht="18" customHeight="1">
      <c r="A90" s="987" t="s">
        <v>23</v>
      </c>
      <c r="B90" s="987" t="s">
        <v>2</v>
      </c>
      <c r="C90" s="987" t="s">
        <v>38</v>
      </c>
      <c r="D90" s="987" t="s">
        <v>110</v>
      </c>
      <c r="E90" s="987" t="s">
        <v>30</v>
      </c>
      <c r="F90" s="1012" t="s">
        <v>27</v>
      </c>
      <c r="G90" s="1013" t="s">
        <v>318</v>
      </c>
      <c r="H90" s="1013"/>
      <c r="I90" s="1013"/>
      <c r="J90" s="1014" t="s">
        <v>35</v>
      </c>
      <c r="K90" s="1014"/>
      <c r="L90" s="1014"/>
      <c r="M90" s="27"/>
      <c r="N90" s="27"/>
    </row>
    <row r="91" spans="1:14" s="11" customFormat="1" ht="45.75" customHeight="1">
      <c r="A91" s="987"/>
      <c r="B91" s="987"/>
      <c r="C91" s="987"/>
      <c r="D91" s="987"/>
      <c r="E91" s="987"/>
      <c r="F91" s="1012"/>
      <c r="G91" s="537" t="s">
        <v>692</v>
      </c>
      <c r="H91" s="537"/>
      <c r="I91" s="537" t="s">
        <v>321</v>
      </c>
      <c r="J91" s="537" t="s">
        <v>692</v>
      </c>
      <c r="K91" s="423"/>
      <c r="L91" s="423" t="s">
        <v>321</v>
      </c>
      <c r="M91" s="27"/>
      <c r="N91" s="27"/>
    </row>
    <row r="92" spans="1:14" s="9" customFormat="1" ht="29.25" customHeight="1">
      <c r="A92" s="236" t="str">
        <f>L_CViec!A156</f>
        <v>III</v>
      </c>
      <c r="B92" s="1032" t="str">
        <f>L_CViec!B156</f>
        <v>Đăng ký, cấp Giấy chứng nhận lần đầu đối với tổ chức, tổ chức tôn giáo, tổ chức tôn giáo trực thuộc đang sử dụng đất</v>
      </c>
      <c r="C92" s="1032"/>
      <c r="D92" s="1032"/>
      <c r="E92" s="1032"/>
      <c r="F92" s="1032"/>
      <c r="G92" s="1032"/>
      <c r="H92" s="1032"/>
      <c r="I92" s="1032"/>
      <c r="J92" s="538"/>
      <c r="K92" s="538"/>
      <c r="L92" s="692" t="s">
        <v>433</v>
      </c>
    </row>
    <row r="93" spans="1:14" ht="20.25" customHeight="1">
      <c r="A93" s="173">
        <v>1</v>
      </c>
      <c r="B93" s="394" t="s">
        <v>324</v>
      </c>
      <c r="C93" s="244" t="s">
        <v>323</v>
      </c>
      <c r="D93" s="244">
        <v>96</v>
      </c>
      <c r="E93" s="212">
        <f>'Gia_Dcu-Tbi-Vlieu'!$E$6</f>
        <v>600000</v>
      </c>
      <c r="F93" s="246">
        <f t="shared" ref="F93:F99" si="20">E93/D93/26</f>
        <v>240.38461538461539</v>
      </c>
      <c r="G93" s="527">
        <v>1.0169999999999999</v>
      </c>
      <c r="H93" s="527"/>
      <c r="I93" s="527">
        <v>3.7850000000000001</v>
      </c>
      <c r="J93" s="540">
        <f t="shared" ref="J93:L95" si="21">$F93*G93</f>
        <v>244.47115384615381</v>
      </c>
      <c r="K93" s="212">
        <f t="shared" si="21"/>
        <v>0</v>
      </c>
      <c r="L93" s="246">
        <f t="shared" si="21"/>
        <v>909.85576923076928</v>
      </c>
    </row>
    <row r="94" spans="1:14" ht="20.25" customHeight="1">
      <c r="A94" s="173">
        <v>2</v>
      </c>
      <c r="B94" s="394" t="s">
        <v>47</v>
      </c>
      <c r="C94" s="244" t="s">
        <v>323</v>
      </c>
      <c r="D94" s="244">
        <v>96</v>
      </c>
      <c r="E94" s="212">
        <f>'Gia_Dcu-Tbi-Vlieu'!$E$7</f>
        <v>1500000</v>
      </c>
      <c r="F94" s="246">
        <f t="shared" si="20"/>
        <v>600.96153846153845</v>
      </c>
      <c r="G94" s="527">
        <v>1.0169999999999999</v>
      </c>
      <c r="H94" s="527"/>
      <c r="I94" s="527">
        <v>3.7850000000000001</v>
      </c>
      <c r="J94" s="540">
        <f t="shared" si="21"/>
        <v>611.17788461538453</v>
      </c>
      <c r="K94" s="212">
        <f t="shared" si="21"/>
        <v>0</v>
      </c>
      <c r="L94" s="246">
        <f t="shared" si="21"/>
        <v>2274.6394230769233</v>
      </c>
    </row>
    <row r="95" spans="1:14" ht="20.25" customHeight="1">
      <c r="A95" s="173">
        <v>3</v>
      </c>
      <c r="B95" s="394" t="s">
        <v>325</v>
      </c>
      <c r="C95" s="244" t="s">
        <v>323</v>
      </c>
      <c r="D95" s="244">
        <v>96</v>
      </c>
      <c r="E95" s="212">
        <f>'Gia_Dcu-Tbi-Vlieu'!$E$8</f>
        <v>2250000</v>
      </c>
      <c r="F95" s="246">
        <f t="shared" si="20"/>
        <v>901.44230769230774</v>
      </c>
      <c r="G95" s="527">
        <v>1.0169999999999999</v>
      </c>
      <c r="H95" s="527"/>
      <c r="I95" s="527">
        <v>2.9849999999999999</v>
      </c>
      <c r="J95" s="540">
        <f t="shared" si="21"/>
        <v>916.76682692307691</v>
      </c>
      <c r="K95" s="212">
        <f t="shared" si="21"/>
        <v>0</v>
      </c>
      <c r="L95" s="246">
        <f t="shared" si="21"/>
        <v>2690.8052884615386</v>
      </c>
    </row>
    <row r="96" spans="1:14" ht="20.25" customHeight="1">
      <c r="A96" s="173">
        <v>4</v>
      </c>
      <c r="B96" s="394" t="s">
        <v>329</v>
      </c>
      <c r="C96" s="244" t="s">
        <v>323</v>
      </c>
      <c r="D96" s="244">
        <v>12</v>
      </c>
      <c r="E96" s="212">
        <f>'Gia_Dcu-Tbi-Vlieu'!$E$12</f>
        <v>37000</v>
      </c>
      <c r="F96" s="246">
        <f t="shared" si="20"/>
        <v>118.58974358974359</v>
      </c>
      <c r="G96" s="527"/>
      <c r="H96" s="527"/>
      <c r="I96" s="527">
        <v>0.01</v>
      </c>
      <c r="J96" s="540">
        <f>$F96*G96</f>
        <v>0</v>
      </c>
      <c r="K96" s="212">
        <f>$F96*H96</f>
        <v>0</v>
      </c>
      <c r="L96" s="246">
        <f>$F96*I96</f>
        <v>1.1858974358974359</v>
      </c>
    </row>
    <row r="97" spans="1:13" ht="20.25" customHeight="1">
      <c r="A97" s="173">
        <v>5</v>
      </c>
      <c r="B97" s="394" t="s">
        <v>334</v>
      </c>
      <c r="C97" s="244" t="s">
        <v>323</v>
      </c>
      <c r="D97" s="244">
        <v>12</v>
      </c>
      <c r="E97" s="212">
        <f>'Gia_Dcu-Tbi-Vlieu'!$E$18</f>
        <v>11500</v>
      </c>
      <c r="F97" s="246">
        <f t="shared" si="20"/>
        <v>36.858974358974358</v>
      </c>
      <c r="G97" s="527"/>
      <c r="H97" s="527"/>
      <c r="I97" s="527">
        <v>0.1</v>
      </c>
      <c r="J97" s="540">
        <f t="shared" ref="J97:L100" si="22">$F97*G97</f>
        <v>0</v>
      </c>
      <c r="K97" s="212">
        <f t="shared" si="22"/>
        <v>0</v>
      </c>
      <c r="L97" s="246">
        <f t="shared" si="22"/>
        <v>3.6858974358974361</v>
      </c>
    </row>
    <row r="98" spans="1:13" ht="20.25" customHeight="1">
      <c r="A98" s="173">
        <v>6</v>
      </c>
      <c r="B98" s="394" t="s">
        <v>335</v>
      </c>
      <c r="C98" s="244" t="s">
        <v>323</v>
      </c>
      <c r="D98" s="244">
        <v>36</v>
      </c>
      <c r="E98" s="212">
        <f>'Gia_Dcu-Tbi-Vlieu'!$E$19</f>
        <v>2640000</v>
      </c>
      <c r="F98" s="246">
        <f t="shared" si="20"/>
        <v>2820.5128205128203</v>
      </c>
      <c r="G98" s="527">
        <v>0.254</v>
      </c>
      <c r="H98" s="527"/>
      <c r="I98" s="527">
        <v>1.492</v>
      </c>
      <c r="J98" s="540">
        <f t="shared" si="22"/>
        <v>716.41025641025635</v>
      </c>
      <c r="K98" s="212">
        <f t="shared" si="22"/>
        <v>0</v>
      </c>
      <c r="L98" s="246">
        <f t="shared" si="22"/>
        <v>4208.2051282051279</v>
      </c>
    </row>
    <row r="99" spans="1:13" ht="20.25" customHeight="1">
      <c r="A99" s="173">
        <v>7</v>
      </c>
      <c r="B99" s="394" t="s">
        <v>336</v>
      </c>
      <c r="C99" s="244" t="s">
        <v>337</v>
      </c>
      <c r="D99" s="244">
        <v>30</v>
      </c>
      <c r="E99" s="212">
        <f>'Gia_Dcu-Tbi-Vlieu'!$E$20</f>
        <v>165000</v>
      </c>
      <c r="F99" s="246">
        <f t="shared" si="20"/>
        <v>211.53846153846155</v>
      </c>
      <c r="G99" s="527">
        <v>1.0169999999999999</v>
      </c>
      <c r="H99" s="527"/>
      <c r="I99" s="527">
        <v>3.7850000000000001</v>
      </c>
      <c r="J99" s="540">
        <f t="shared" si="22"/>
        <v>215.13461538461539</v>
      </c>
      <c r="K99" s="212">
        <f t="shared" si="22"/>
        <v>0</v>
      </c>
      <c r="L99" s="246">
        <f t="shared" si="22"/>
        <v>800.67307692307702</v>
      </c>
    </row>
    <row r="100" spans="1:13" ht="20.25" customHeight="1">
      <c r="A100" s="173">
        <v>8</v>
      </c>
      <c r="B100" s="394" t="s">
        <v>17</v>
      </c>
      <c r="C100" s="244" t="s">
        <v>338</v>
      </c>
      <c r="D100" s="398">
        <v>1</v>
      </c>
      <c r="E100" s="212">
        <f>'Gia_Dcu-Tbi-Vlieu'!$E$21</f>
        <v>2226</v>
      </c>
      <c r="F100" s="246">
        <f>D100*E100</f>
        <v>2226</v>
      </c>
      <c r="G100" s="541">
        <v>0.53900000000000003</v>
      </c>
      <c r="H100" s="541"/>
      <c r="I100" s="541">
        <v>2.4049999999999998</v>
      </c>
      <c r="J100" s="542">
        <f t="shared" si="22"/>
        <v>1199.8140000000001</v>
      </c>
      <c r="K100" s="247">
        <f t="shared" si="22"/>
        <v>0</v>
      </c>
      <c r="L100" s="246">
        <f t="shared" si="22"/>
        <v>5353.53</v>
      </c>
    </row>
    <row r="101" spans="1:13" s="11" customFormat="1" ht="33" customHeight="1">
      <c r="A101" s="543"/>
      <c r="B101" s="144" t="s">
        <v>691</v>
      </c>
      <c r="C101" s="167"/>
      <c r="D101" s="168"/>
      <c r="E101" s="158"/>
      <c r="F101" s="169"/>
      <c r="G101" s="210"/>
      <c r="H101" s="210"/>
      <c r="I101" s="204">
        <v>1</v>
      </c>
      <c r="J101" s="170">
        <f>SUM(J93:J99)*$I101+J100</f>
        <v>3903.7747371794867</v>
      </c>
      <c r="K101" s="170">
        <f>SUM(K93:K99)*$I101+K100</f>
        <v>0</v>
      </c>
      <c r="L101" s="170">
        <f>SUM(L93:L99)*$I101+L100</f>
        <v>16242.580480769229</v>
      </c>
    </row>
    <row r="102" spans="1:13" ht="20.25" customHeight="1">
      <c r="A102" s="92"/>
      <c r="B102" s="140" t="s">
        <v>294</v>
      </c>
      <c r="C102" s="94"/>
      <c r="D102" s="93"/>
      <c r="E102" s="93"/>
      <c r="F102" s="141"/>
      <c r="G102" s="157"/>
      <c r="H102" s="93"/>
      <c r="I102" s="205"/>
      <c r="J102" s="205"/>
      <c r="K102" s="205"/>
      <c r="L102" s="142"/>
      <c r="M102" s="27"/>
    </row>
    <row r="103" spans="1:13" ht="20.25" customHeight="1">
      <c r="A103" s="28"/>
      <c r="B103" s="1008" t="s">
        <v>382</v>
      </c>
      <c r="C103" s="1009"/>
      <c r="D103" s="1009"/>
      <c r="E103" s="1009"/>
      <c r="F103" s="1010"/>
      <c r="G103" s="207"/>
      <c r="H103" s="207"/>
      <c r="I103" s="207"/>
      <c r="J103" s="7">
        <f>J101</f>
        <v>3903.7747371794867</v>
      </c>
      <c r="K103" s="7"/>
      <c r="L103" s="83">
        <f>L101</f>
        <v>16242.580480769229</v>
      </c>
    </row>
    <row r="104" spans="1:13" ht="46.5" customHeight="1">
      <c r="A104" s="28"/>
      <c r="B104" s="1008" t="s">
        <v>386</v>
      </c>
      <c r="C104" s="1009"/>
      <c r="D104" s="1009"/>
      <c r="E104" s="1009"/>
      <c r="F104" s="1010"/>
      <c r="G104" s="207">
        <v>1.3</v>
      </c>
      <c r="H104" s="207"/>
      <c r="I104" s="207">
        <v>1.3</v>
      </c>
      <c r="J104" s="7">
        <f>G104*J101</f>
        <v>5074.9071583333325</v>
      </c>
      <c r="K104" s="7">
        <f>H104*K101</f>
        <v>0</v>
      </c>
      <c r="L104" s="83">
        <f>I104*L101</f>
        <v>21115.354625</v>
      </c>
    </row>
    <row r="105" spans="1:13">
      <c r="A105" s="161"/>
      <c r="B105" s="688"/>
      <c r="C105" s="689"/>
      <c r="D105" s="688"/>
      <c r="E105" s="688"/>
      <c r="F105" s="690"/>
      <c r="G105" s="693"/>
      <c r="H105" s="693"/>
      <c r="I105" s="693"/>
      <c r="J105" s="133"/>
      <c r="K105" s="133"/>
      <c r="L105" s="521"/>
    </row>
    <row r="106" spans="1:13" ht="15.75" customHeight="1">
      <c r="A106" s="987" t="s">
        <v>23</v>
      </c>
      <c r="B106" s="987" t="s">
        <v>2</v>
      </c>
      <c r="C106" s="987" t="s">
        <v>38</v>
      </c>
      <c r="D106" s="987" t="s">
        <v>110</v>
      </c>
      <c r="E106" s="987" t="s">
        <v>372</v>
      </c>
      <c r="F106" s="1012" t="s">
        <v>27</v>
      </c>
      <c r="G106" s="1013" t="s">
        <v>318</v>
      </c>
      <c r="H106" s="1013"/>
      <c r="I106" s="1013"/>
      <c r="J106" s="1014" t="s">
        <v>35</v>
      </c>
      <c r="K106" s="1014"/>
      <c r="L106" s="1014"/>
    </row>
    <row r="107" spans="1:13" ht="50.25" customHeight="1">
      <c r="A107" s="987"/>
      <c r="B107" s="987"/>
      <c r="C107" s="987"/>
      <c r="D107" s="987"/>
      <c r="E107" s="987"/>
      <c r="F107" s="1012"/>
      <c r="G107" s="537" t="s">
        <v>692</v>
      </c>
      <c r="H107" s="537"/>
      <c r="I107" s="537" t="s">
        <v>321</v>
      </c>
      <c r="J107" s="537" t="s">
        <v>692</v>
      </c>
      <c r="K107" s="423"/>
      <c r="L107" s="423" t="s">
        <v>321</v>
      </c>
    </row>
    <row r="108" spans="1:13" s="9" customFormat="1" ht="36.65" customHeight="1">
      <c r="A108" s="236" t="str">
        <f>L_CViec!A202</f>
        <v>IV</v>
      </c>
      <c r="B108" s="1032" t="str">
        <f>L_CViec!B202</f>
        <v>Đăng ký, cấp đổi Giấy chứng nhận đồng loạt tại xã, phường</v>
      </c>
      <c r="C108" s="1032"/>
      <c r="D108" s="1032"/>
      <c r="E108" s="1032"/>
      <c r="F108" s="1032"/>
      <c r="G108" s="1032"/>
      <c r="H108" s="1032"/>
      <c r="I108" s="1032"/>
      <c r="J108" s="538"/>
      <c r="K108" s="538"/>
      <c r="L108" s="539" t="s">
        <v>429</v>
      </c>
    </row>
    <row r="109" spans="1:13" ht="17.25" customHeight="1">
      <c r="A109" s="173">
        <v>1</v>
      </c>
      <c r="B109" s="394" t="s">
        <v>324</v>
      </c>
      <c r="C109" s="244" t="s">
        <v>323</v>
      </c>
      <c r="D109" s="244">
        <v>96</v>
      </c>
      <c r="E109" s="212">
        <f>'Gia_Dcu-Tbi-Vlieu'!$E$6</f>
        <v>600000</v>
      </c>
      <c r="F109" s="246">
        <f t="shared" ref="F109:F118" si="23">E109/D109/26</f>
        <v>240.38461538461539</v>
      </c>
      <c r="G109" s="541">
        <v>1.4990000000000001</v>
      </c>
      <c r="H109" s="541"/>
      <c r="I109" s="541">
        <v>0.17899999999999999</v>
      </c>
      <c r="J109" s="247">
        <f t="shared" ref="J109:L111" si="24">$F109*G109</f>
        <v>360.33653846153851</v>
      </c>
      <c r="K109" s="247">
        <f t="shared" si="24"/>
        <v>0</v>
      </c>
      <c r="L109" s="247">
        <f t="shared" si="24"/>
        <v>43.028846153846153</v>
      </c>
    </row>
    <row r="110" spans="1:13" ht="17.25" customHeight="1">
      <c r="A110" s="173">
        <v>2</v>
      </c>
      <c r="B110" s="394" t="s">
        <v>47</v>
      </c>
      <c r="C110" s="244" t="s">
        <v>323</v>
      </c>
      <c r="D110" s="244">
        <v>96</v>
      </c>
      <c r="E110" s="212">
        <f>'Gia_Dcu-Tbi-Vlieu'!$E$7</f>
        <v>1500000</v>
      </c>
      <c r="F110" s="246">
        <f t="shared" si="23"/>
        <v>600.96153846153845</v>
      </c>
      <c r="G110" s="541">
        <v>1.4990000000000001</v>
      </c>
      <c r="H110" s="541"/>
      <c r="I110" s="541">
        <v>0.17899999999999999</v>
      </c>
      <c r="J110" s="247">
        <f t="shared" si="24"/>
        <v>900.84134615384619</v>
      </c>
      <c r="K110" s="247">
        <f t="shared" si="24"/>
        <v>0</v>
      </c>
      <c r="L110" s="247">
        <f t="shared" si="24"/>
        <v>107.57211538461537</v>
      </c>
    </row>
    <row r="111" spans="1:13" ht="17.25" customHeight="1">
      <c r="A111" s="173">
        <v>3</v>
      </c>
      <c r="B111" s="394" t="s">
        <v>325</v>
      </c>
      <c r="C111" s="244" t="s">
        <v>323</v>
      </c>
      <c r="D111" s="244">
        <v>96</v>
      </c>
      <c r="E111" s="212">
        <f>'Gia_Dcu-Tbi-Vlieu'!$E$8</f>
        <v>2250000</v>
      </c>
      <c r="F111" s="246">
        <f t="shared" si="23"/>
        <v>901.44230769230774</v>
      </c>
      <c r="G111" s="541">
        <v>1.0069999999999999</v>
      </c>
      <c r="H111" s="541"/>
      <c r="I111" s="541">
        <v>0.17899999999999999</v>
      </c>
      <c r="J111" s="247">
        <f t="shared" si="24"/>
        <v>907.75240384615381</v>
      </c>
      <c r="K111" s="247">
        <f t="shared" si="24"/>
        <v>0</v>
      </c>
      <c r="L111" s="247">
        <f t="shared" si="24"/>
        <v>161.35817307692307</v>
      </c>
    </row>
    <row r="112" spans="1:13" ht="17.25" customHeight="1">
      <c r="A112" s="173">
        <v>4</v>
      </c>
      <c r="B112" s="394" t="s">
        <v>328</v>
      </c>
      <c r="C112" s="244" t="s">
        <v>323</v>
      </c>
      <c r="D112" s="244">
        <v>12</v>
      </c>
      <c r="E112" s="212">
        <f>'Gia_Dcu-Tbi-Vlieu'!$E$11</f>
        <v>100000</v>
      </c>
      <c r="F112" s="246">
        <f t="shared" si="23"/>
        <v>320.51282051282055</v>
      </c>
      <c r="G112" s="541">
        <v>4.0000000000000001E-3</v>
      </c>
      <c r="H112" s="541"/>
      <c r="I112" s="541">
        <v>1E-3</v>
      </c>
      <c r="J112" s="247">
        <f t="shared" ref="J112:L115" si="25">$F112*G112</f>
        <v>1.2820512820512822</v>
      </c>
      <c r="K112" s="247">
        <f t="shared" si="25"/>
        <v>0</v>
      </c>
      <c r="L112" s="247">
        <f t="shared" si="25"/>
        <v>0.32051282051282054</v>
      </c>
    </row>
    <row r="113" spans="1:13" ht="17.25" customHeight="1">
      <c r="A113" s="173">
        <v>5</v>
      </c>
      <c r="B113" s="394" t="s">
        <v>329</v>
      </c>
      <c r="C113" s="244" t="s">
        <v>323</v>
      </c>
      <c r="D113" s="244">
        <v>12</v>
      </c>
      <c r="E113" s="212">
        <f>'Gia_Dcu-Tbi-Vlieu'!$E$12</f>
        <v>37000</v>
      </c>
      <c r="F113" s="246">
        <f t="shared" si="23"/>
        <v>118.58974358974359</v>
      </c>
      <c r="G113" s="541">
        <v>1.7000000000000001E-2</v>
      </c>
      <c r="H113" s="541"/>
      <c r="I113" s="541">
        <v>2E-3</v>
      </c>
      <c r="J113" s="247">
        <f t="shared" si="25"/>
        <v>2.0160256410256414</v>
      </c>
      <c r="K113" s="247">
        <f t="shared" si="25"/>
        <v>0</v>
      </c>
      <c r="L113" s="247">
        <f t="shared" si="25"/>
        <v>0.2371794871794872</v>
      </c>
    </row>
    <row r="114" spans="1:13" ht="17.25" customHeight="1">
      <c r="A114" s="173">
        <v>6</v>
      </c>
      <c r="B114" s="394" t="s">
        <v>330</v>
      </c>
      <c r="C114" s="244" t="s">
        <v>323</v>
      </c>
      <c r="D114" s="244">
        <v>12</v>
      </c>
      <c r="E114" s="212">
        <f>'Gia_Dcu-Tbi-Vlieu'!$E$13</f>
        <v>185000</v>
      </c>
      <c r="F114" s="246">
        <f t="shared" si="23"/>
        <v>592.9487179487179</v>
      </c>
      <c r="G114" s="541">
        <v>0.05</v>
      </c>
      <c r="H114" s="541"/>
      <c r="I114" s="541">
        <v>1E-3</v>
      </c>
      <c r="J114" s="247">
        <f t="shared" si="25"/>
        <v>29.647435897435898</v>
      </c>
      <c r="K114" s="247">
        <f t="shared" si="25"/>
        <v>0</v>
      </c>
      <c r="L114" s="247">
        <f t="shared" si="25"/>
        <v>0.59294871794871795</v>
      </c>
    </row>
    <row r="115" spans="1:13" ht="17.25" customHeight="1">
      <c r="A115" s="173">
        <v>7</v>
      </c>
      <c r="B115" s="394" t="s">
        <v>331</v>
      </c>
      <c r="C115" s="244" t="s">
        <v>323</v>
      </c>
      <c r="D115" s="244">
        <v>9</v>
      </c>
      <c r="E115" s="212">
        <f>'Gia_Dcu-Tbi-Vlieu'!$E$14</f>
        <v>46000</v>
      </c>
      <c r="F115" s="246">
        <f t="shared" si="23"/>
        <v>196.58119658119659</v>
      </c>
      <c r="G115" s="541">
        <v>2.4E-2</v>
      </c>
      <c r="H115" s="541"/>
      <c r="I115" s="541">
        <v>1E-3</v>
      </c>
      <c r="J115" s="247">
        <f t="shared" si="25"/>
        <v>4.7179487179487181</v>
      </c>
      <c r="K115" s="247">
        <f t="shared" si="25"/>
        <v>0</v>
      </c>
      <c r="L115" s="247">
        <f t="shared" si="25"/>
        <v>0.1965811965811966</v>
      </c>
    </row>
    <row r="116" spans="1:13" ht="17.25" customHeight="1">
      <c r="A116" s="173">
        <v>8</v>
      </c>
      <c r="B116" s="394" t="s">
        <v>334</v>
      </c>
      <c r="C116" s="244" t="s">
        <v>323</v>
      </c>
      <c r="D116" s="244">
        <v>12</v>
      </c>
      <c r="E116" s="212">
        <f>'Gia_Dcu-Tbi-Vlieu'!$E$18</f>
        <v>11500</v>
      </c>
      <c r="F116" s="246">
        <f t="shared" si="23"/>
        <v>36.858974358974358</v>
      </c>
      <c r="G116" s="541">
        <v>4.9000000000000002E-2</v>
      </c>
      <c r="H116" s="541"/>
      <c r="I116" s="541">
        <v>0</v>
      </c>
      <c r="J116" s="247">
        <f t="shared" ref="J116:L119" si="26">$F116*G116</f>
        <v>1.8060897435897436</v>
      </c>
      <c r="K116" s="247">
        <f t="shared" si="26"/>
        <v>0</v>
      </c>
      <c r="L116" s="247">
        <f t="shared" si="26"/>
        <v>0</v>
      </c>
    </row>
    <row r="117" spans="1:13" ht="17.25" customHeight="1">
      <c r="A117" s="173">
        <v>9</v>
      </c>
      <c r="B117" s="394" t="s">
        <v>335</v>
      </c>
      <c r="C117" s="244" t="s">
        <v>323</v>
      </c>
      <c r="D117" s="244">
        <v>36</v>
      </c>
      <c r="E117" s="212">
        <f>'Gia_Dcu-Tbi-Vlieu'!$E$19</f>
        <v>2640000</v>
      </c>
      <c r="F117" s="246">
        <f t="shared" si="23"/>
        <v>2820.5128205128203</v>
      </c>
      <c r="G117" s="541">
        <v>0.70499999999999996</v>
      </c>
      <c r="H117" s="541"/>
      <c r="I117" s="541">
        <v>0.125</v>
      </c>
      <c r="J117" s="247">
        <f t="shared" si="26"/>
        <v>1988.4615384615381</v>
      </c>
      <c r="K117" s="247">
        <f t="shared" si="26"/>
        <v>0</v>
      </c>
      <c r="L117" s="247">
        <f t="shared" si="26"/>
        <v>352.56410256410254</v>
      </c>
    </row>
    <row r="118" spans="1:13" ht="17.25" customHeight="1">
      <c r="A118" s="173">
        <v>10</v>
      </c>
      <c r="B118" s="394" t="s">
        <v>336</v>
      </c>
      <c r="C118" s="244" t="s">
        <v>337</v>
      </c>
      <c r="D118" s="244">
        <v>30</v>
      </c>
      <c r="E118" s="212">
        <f>'Gia_Dcu-Tbi-Vlieu'!$E$20</f>
        <v>165000</v>
      </c>
      <c r="F118" s="246">
        <f t="shared" si="23"/>
        <v>211.53846153846155</v>
      </c>
      <c r="G118" s="541">
        <v>1.4990000000000001</v>
      </c>
      <c r="H118" s="541"/>
      <c r="I118" s="541">
        <v>0.17899999999999999</v>
      </c>
      <c r="J118" s="247">
        <f t="shared" si="26"/>
        <v>317.09615384615387</v>
      </c>
      <c r="K118" s="247">
        <f t="shared" si="26"/>
        <v>0</v>
      </c>
      <c r="L118" s="247">
        <f t="shared" si="26"/>
        <v>37.865384615384613</v>
      </c>
    </row>
    <row r="119" spans="1:13" ht="17.25" customHeight="1">
      <c r="A119" s="173">
        <v>11</v>
      </c>
      <c r="B119" s="394" t="s">
        <v>17</v>
      </c>
      <c r="C119" s="244" t="s">
        <v>338</v>
      </c>
      <c r="D119" s="398">
        <v>1</v>
      </c>
      <c r="E119" s="212">
        <f>'Gia_Dcu-Tbi-Vlieu'!$E$21</f>
        <v>2226</v>
      </c>
      <c r="F119" s="246">
        <f>D119*E119</f>
        <v>2226</v>
      </c>
      <c r="G119" s="541">
        <v>1.044</v>
      </c>
      <c r="H119" s="541"/>
      <c r="I119" s="541">
        <v>0.14899999999999999</v>
      </c>
      <c r="J119" s="247">
        <f>$F119*G119</f>
        <v>2323.944</v>
      </c>
      <c r="K119" s="247">
        <f t="shared" si="26"/>
        <v>0</v>
      </c>
      <c r="L119" s="247">
        <f t="shared" si="26"/>
        <v>331.67399999999998</v>
      </c>
    </row>
    <row r="120" spans="1:13" s="11" customFormat="1" ht="32.25" customHeight="1">
      <c r="A120" s="543"/>
      <c r="B120" s="177" t="s">
        <v>691</v>
      </c>
      <c r="C120" s="167"/>
      <c r="D120" s="168"/>
      <c r="E120" s="158"/>
      <c r="F120" s="169"/>
      <c r="G120" s="210"/>
      <c r="H120" s="210"/>
      <c r="I120" s="211">
        <v>1</v>
      </c>
      <c r="J120" s="170">
        <f>SUM(J109:J118)*$I120+J119</f>
        <v>6837.9015320512826</v>
      </c>
      <c r="K120" s="170">
        <f>SUM(K109:K118)*$I120+K119</f>
        <v>0</v>
      </c>
      <c r="L120" s="170">
        <f>SUM(L109:L118)*$I120+L119</f>
        <v>1035.409844017094</v>
      </c>
    </row>
    <row r="121" spans="1:13" ht="17.25" customHeight="1">
      <c r="A121" s="173"/>
      <c r="B121" s="159" t="s">
        <v>294</v>
      </c>
      <c r="C121" s="173"/>
      <c r="D121" s="174"/>
      <c r="E121" s="174"/>
      <c r="F121" s="175"/>
      <c r="G121" s="212"/>
      <c r="H121" s="174"/>
      <c r="I121" s="213"/>
      <c r="J121" s="213"/>
      <c r="K121" s="213"/>
      <c r="L121" s="212"/>
      <c r="M121" s="27"/>
    </row>
    <row r="122" spans="1:13" ht="17.25" customHeight="1">
      <c r="A122" s="173"/>
      <c r="B122" s="159" t="s">
        <v>593</v>
      </c>
      <c r="C122" s="173"/>
      <c r="D122" s="174"/>
      <c r="E122" s="174"/>
      <c r="F122" s="175"/>
      <c r="G122" s="212"/>
      <c r="H122" s="174"/>
      <c r="I122" s="213"/>
      <c r="J122" s="213"/>
      <c r="K122" s="213"/>
      <c r="L122" s="212"/>
      <c r="M122" s="27"/>
    </row>
    <row r="123" spans="1:13" s="11" customFormat="1" ht="17.25" customHeight="1">
      <c r="A123" s="167"/>
      <c r="B123" s="167" t="s">
        <v>119</v>
      </c>
      <c r="C123" s="177"/>
      <c r="D123" s="167"/>
      <c r="E123" s="526"/>
      <c r="F123" s="526"/>
      <c r="G123" s="526">
        <v>0.9</v>
      </c>
      <c r="H123" s="526"/>
      <c r="I123" s="526">
        <v>1</v>
      </c>
      <c r="J123" s="178">
        <f t="shared" ref="J123:L133" si="27">G123*J$120</f>
        <v>6154.1113788461544</v>
      </c>
      <c r="K123" s="178">
        <f t="shared" si="27"/>
        <v>0</v>
      </c>
      <c r="L123" s="178">
        <f t="shared" si="27"/>
        <v>1035.409844017094</v>
      </c>
      <c r="M123" s="4"/>
    </row>
    <row r="124" spans="1:13" s="11" customFormat="1" ht="17.25" customHeight="1">
      <c r="A124" s="167"/>
      <c r="B124" s="167" t="s">
        <v>120</v>
      </c>
      <c r="C124" s="167"/>
      <c r="D124" s="167"/>
      <c r="E124" s="526"/>
      <c r="F124" s="526"/>
      <c r="G124" s="526">
        <v>1</v>
      </c>
      <c r="H124" s="526"/>
      <c r="I124" s="526">
        <v>1</v>
      </c>
      <c r="J124" s="178">
        <f t="shared" si="27"/>
        <v>6837.9015320512826</v>
      </c>
      <c r="K124" s="178">
        <f t="shared" si="27"/>
        <v>0</v>
      </c>
      <c r="L124" s="178">
        <f t="shared" si="27"/>
        <v>1035.409844017094</v>
      </c>
      <c r="M124" s="4"/>
    </row>
    <row r="125" spans="1:13" s="11" customFormat="1" ht="17.25" customHeight="1">
      <c r="A125" s="167"/>
      <c r="B125" s="167" t="s">
        <v>121</v>
      </c>
      <c r="C125" s="167"/>
      <c r="D125" s="167"/>
      <c r="E125" s="526"/>
      <c r="F125" s="526"/>
      <c r="G125" s="526">
        <v>1.1000000000000001</v>
      </c>
      <c r="H125" s="526"/>
      <c r="I125" s="526">
        <v>1</v>
      </c>
      <c r="J125" s="178">
        <f t="shared" si="27"/>
        <v>7521.6916852564118</v>
      </c>
      <c r="K125" s="178">
        <f t="shared" si="27"/>
        <v>0</v>
      </c>
      <c r="L125" s="178">
        <f t="shared" si="27"/>
        <v>1035.409844017094</v>
      </c>
      <c r="M125" s="4"/>
    </row>
    <row r="126" spans="1:13" ht="85.5" customHeight="1">
      <c r="A126" s="173"/>
      <c r="B126" s="1011" t="s">
        <v>388</v>
      </c>
      <c r="C126" s="1011"/>
      <c r="D126" s="1011"/>
      <c r="E126" s="1011"/>
      <c r="F126" s="1011"/>
      <c r="G126" s="1033">
        <v>1.3</v>
      </c>
      <c r="H126" s="1033"/>
      <c r="I126" s="1033"/>
      <c r="J126" s="212">
        <f t="shared" si="27"/>
        <v>8889.2719916666683</v>
      </c>
      <c r="K126" s="212">
        <f t="shared" si="27"/>
        <v>0</v>
      </c>
      <c r="L126" s="212">
        <f>L120*G126</f>
        <v>1346.0327972222221</v>
      </c>
    </row>
    <row r="127" spans="1:13" ht="56.25" customHeight="1">
      <c r="A127" s="173"/>
      <c r="B127" s="1011" t="s">
        <v>595</v>
      </c>
      <c r="C127" s="1011"/>
      <c r="D127" s="1011"/>
      <c r="E127" s="1011"/>
      <c r="F127" s="1011"/>
      <c r="G127" s="816"/>
      <c r="H127" s="816"/>
      <c r="I127" s="816"/>
      <c r="J127" s="212"/>
      <c r="K127" s="212"/>
      <c r="L127" s="212"/>
    </row>
    <row r="128" spans="1:13" ht="21.75" customHeight="1">
      <c r="A128" s="173"/>
      <c r="B128" s="1011"/>
      <c r="C128" s="1011"/>
      <c r="D128" s="1011"/>
      <c r="E128" s="1011"/>
      <c r="F128" s="1011"/>
      <c r="G128" s="527">
        <v>1.0029999999999999</v>
      </c>
      <c r="H128" s="527"/>
      <c r="I128" s="527">
        <v>1</v>
      </c>
      <c r="J128" s="212">
        <f>J123*G128</f>
        <v>6172.5737129826921</v>
      </c>
      <c r="K128" s="212"/>
      <c r="L128" s="212">
        <f>L123*I128</f>
        <v>1035.409844017094</v>
      </c>
    </row>
    <row r="129" spans="1:12" ht="21.75" customHeight="1">
      <c r="A129" s="173"/>
      <c r="B129" s="528"/>
      <c r="C129" s="528"/>
      <c r="D129" s="528"/>
      <c r="E129" s="528"/>
      <c r="F129" s="528"/>
      <c r="G129" s="527">
        <v>1.0029999999999999</v>
      </c>
      <c r="H129" s="527"/>
      <c r="I129" s="527">
        <v>1</v>
      </c>
      <c r="J129" s="212">
        <f t="shared" ref="J129:J130" si="28">J124*G129</f>
        <v>6858.4152366474354</v>
      </c>
      <c r="K129" s="212"/>
      <c r="L129" s="212">
        <f t="shared" ref="L129:L130" si="29">L124*I129</f>
        <v>1035.409844017094</v>
      </c>
    </row>
    <row r="130" spans="1:12" ht="21.75" customHeight="1">
      <c r="A130" s="173"/>
      <c r="B130" s="528"/>
      <c r="C130" s="528"/>
      <c r="D130" s="528"/>
      <c r="E130" s="528"/>
      <c r="F130" s="528"/>
      <c r="G130" s="527">
        <v>1.0029999999999999</v>
      </c>
      <c r="H130" s="527"/>
      <c r="I130" s="527">
        <v>1</v>
      </c>
      <c r="J130" s="212">
        <f t="shared" si="28"/>
        <v>7544.2567603121806</v>
      </c>
      <c r="K130" s="212"/>
      <c r="L130" s="212">
        <f t="shared" si="29"/>
        <v>1035.409844017094</v>
      </c>
    </row>
    <row r="131" spans="1:12" ht="42.75" customHeight="1">
      <c r="A131" s="173"/>
      <c r="B131" s="1011" t="s">
        <v>594</v>
      </c>
      <c r="C131" s="1011"/>
      <c r="D131" s="1011"/>
      <c r="E131" s="1011"/>
      <c r="F131" s="1011"/>
      <c r="G131" s="213"/>
      <c r="H131" s="213"/>
      <c r="I131" s="213"/>
      <c r="J131" s="212">
        <f t="shared" si="27"/>
        <v>0</v>
      </c>
      <c r="K131" s="212">
        <f t="shared" si="27"/>
        <v>0</v>
      </c>
      <c r="L131" s="212">
        <f t="shared" si="27"/>
        <v>0</v>
      </c>
    </row>
    <row r="132" spans="1:12" ht="49.5" customHeight="1">
      <c r="A132" s="173"/>
      <c r="B132" s="1011" t="s">
        <v>389</v>
      </c>
      <c r="C132" s="1011"/>
      <c r="D132" s="1011"/>
      <c r="E132" s="1011"/>
      <c r="F132" s="1011"/>
      <c r="G132" s="213">
        <v>0.3</v>
      </c>
      <c r="H132" s="213"/>
      <c r="I132" s="213">
        <v>0.2</v>
      </c>
      <c r="J132" s="212">
        <f>G132*J$120</f>
        <v>2051.3704596153848</v>
      </c>
      <c r="K132" s="212">
        <f t="shared" si="27"/>
        <v>0</v>
      </c>
      <c r="L132" s="212">
        <f>I132*L$120</f>
        <v>207.08196880341882</v>
      </c>
    </row>
    <row r="133" spans="1:12" ht="39.75" customHeight="1">
      <c r="A133" s="173"/>
      <c r="B133" s="1011" t="s">
        <v>390</v>
      </c>
      <c r="C133" s="1011"/>
      <c r="D133" s="1011"/>
      <c r="E133" s="1011"/>
      <c r="F133" s="1011"/>
      <c r="G133" s="213">
        <v>0.9</v>
      </c>
      <c r="H133" s="213"/>
      <c r="I133" s="213">
        <v>0.9</v>
      </c>
      <c r="J133" s="212">
        <f>G133*J$120</f>
        <v>6154.1113788461544</v>
      </c>
      <c r="K133" s="212">
        <f t="shared" si="27"/>
        <v>0</v>
      </c>
      <c r="L133" s="212">
        <f t="shared" si="27"/>
        <v>931.86885961538462</v>
      </c>
    </row>
    <row r="134" spans="1:12">
      <c r="A134" s="694"/>
      <c r="B134" s="695"/>
      <c r="C134" s="696"/>
      <c r="D134" s="695"/>
      <c r="E134" s="695"/>
      <c r="F134" s="697"/>
      <c r="G134" s="698"/>
      <c r="H134" s="698"/>
      <c r="I134" s="698"/>
      <c r="J134" s="687"/>
      <c r="K134" s="687"/>
      <c r="L134" s="699"/>
    </row>
    <row r="135" spans="1:12" s="9" customFormat="1" ht="36.65" hidden="1" customHeight="1">
      <c r="A135" s="139" t="e">
        <f>L_CViec!#REF!</f>
        <v>#REF!</v>
      </c>
      <c r="B135" s="1037" t="e">
        <f>L_CViec!#REF!</f>
        <v>#REF!</v>
      </c>
      <c r="C135" s="1038"/>
      <c r="D135" s="1038"/>
      <c r="E135" s="1038"/>
      <c r="F135" s="1038"/>
      <c r="G135" s="1038"/>
      <c r="H135" s="1038"/>
      <c r="I135" s="1039"/>
      <c r="J135" s="137"/>
      <c r="K135" s="137"/>
      <c r="L135" s="138" t="s">
        <v>395</v>
      </c>
    </row>
    <row r="136" spans="1:12" ht="18.75" hidden="1" customHeight="1">
      <c r="A136" s="28"/>
      <c r="B136" s="29"/>
      <c r="C136" s="6"/>
      <c r="D136" s="6"/>
      <c r="E136" s="7"/>
      <c r="F136" s="35"/>
      <c r="G136" s="201"/>
      <c r="H136" s="201"/>
      <c r="I136" s="201"/>
      <c r="J136" s="79"/>
      <c r="K136" s="79"/>
      <c r="L136" s="13"/>
    </row>
    <row r="137" spans="1:12" ht="18.75" hidden="1" customHeight="1">
      <c r="A137" s="28">
        <v>2</v>
      </c>
      <c r="B137" s="29" t="s">
        <v>324</v>
      </c>
      <c r="C137" s="6" t="s">
        <v>323</v>
      </c>
      <c r="D137" s="6">
        <v>96</v>
      </c>
      <c r="E137" s="7">
        <f>'Gia_Dcu-Tbi-Vlieu'!$E$6</f>
        <v>600000</v>
      </c>
      <c r="F137" s="35">
        <f t="shared" ref="F137:F150" si="30">E137/D137/26</f>
        <v>240.38461538461539</v>
      </c>
      <c r="G137" s="201"/>
      <c r="H137" s="201">
        <v>1.4990000000000001</v>
      </c>
      <c r="I137" s="201">
        <v>0.17899999999999999</v>
      </c>
      <c r="J137" s="79">
        <f t="shared" ref="J137:L139" si="31">$F137*G137</f>
        <v>0</v>
      </c>
      <c r="K137" s="79">
        <f t="shared" si="31"/>
        <v>360.33653846153851</v>
      </c>
      <c r="L137" s="13">
        <f t="shared" si="31"/>
        <v>43.028846153846153</v>
      </c>
    </row>
    <row r="138" spans="1:12" ht="18.75" hidden="1" customHeight="1">
      <c r="A138" s="28">
        <v>3</v>
      </c>
      <c r="B138" s="29" t="s">
        <v>47</v>
      </c>
      <c r="C138" s="6" t="s">
        <v>323</v>
      </c>
      <c r="D138" s="6">
        <v>96</v>
      </c>
      <c r="E138" s="7">
        <f>'Gia_Dcu-Tbi-Vlieu'!$E$7</f>
        <v>1500000</v>
      </c>
      <c r="F138" s="35">
        <f t="shared" si="30"/>
        <v>600.96153846153845</v>
      </c>
      <c r="G138" s="201"/>
      <c r="H138" s="201">
        <v>1.4990000000000001</v>
      </c>
      <c r="I138" s="201">
        <v>0.17899999999999999</v>
      </c>
      <c r="J138" s="79">
        <f t="shared" si="31"/>
        <v>0</v>
      </c>
      <c r="K138" s="79">
        <f t="shared" si="31"/>
        <v>900.84134615384619</v>
      </c>
      <c r="L138" s="13">
        <f t="shared" si="31"/>
        <v>107.57211538461537</v>
      </c>
    </row>
    <row r="139" spans="1:12" ht="18.75" hidden="1" customHeight="1">
      <c r="A139" s="28">
        <v>4</v>
      </c>
      <c r="B139" s="29" t="s">
        <v>325</v>
      </c>
      <c r="C139" s="6" t="s">
        <v>323</v>
      </c>
      <c r="D139" s="6">
        <v>60</v>
      </c>
      <c r="E139" s="7">
        <f>'Gia_Dcu-Tbi-Vlieu'!$E$8</f>
        <v>2250000</v>
      </c>
      <c r="F139" s="35">
        <f t="shared" si="30"/>
        <v>1442.3076923076924</v>
      </c>
      <c r="G139" s="201"/>
      <c r="H139" s="201">
        <v>1.0069999999999999</v>
      </c>
      <c r="I139" s="201">
        <v>0.17899999999999999</v>
      </c>
      <c r="J139" s="79">
        <f t="shared" si="31"/>
        <v>0</v>
      </c>
      <c r="K139" s="79">
        <f t="shared" si="31"/>
        <v>1452.403846153846</v>
      </c>
      <c r="L139" s="13">
        <f t="shared" si="31"/>
        <v>258.17307692307691</v>
      </c>
    </row>
    <row r="140" spans="1:12" ht="18.75" hidden="1" customHeight="1">
      <c r="A140" s="28"/>
      <c r="B140" s="29"/>
      <c r="C140" s="6"/>
      <c r="D140" s="6"/>
      <c r="E140" s="7"/>
      <c r="F140" s="35"/>
      <c r="G140" s="201"/>
      <c r="H140" s="201"/>
      <c r="I140" s="201"/>
      <c r="J140" s="79"/>
      <c r="K140" s="79"/>
      <c r="L140" s="13"/>
    </row>
    <row r="141" spans="1:12" ht="18.75" hidden="1" customHeight="1">
      <c r="A141" s="28">
        <v>6</v>
      </c>
      <c r="B141" s="29" t="s">
        <v>327</v>
      </c>
      <c r="C141" s="6" t="s">
        <v>323</v>
      </c>
      <c r="D141" s="6">
        <v>36</v>
      </c>
      <c r="E141" s="7">
        <f>'Gia_Dcu-Tbi-Vlieu'!$E$10</f>
        <v>205000</v>
      </c>
      <c r="F141" s="35">
        <f t="shared" si="30"/>
        <v>219.01709401709402</v>
      </c>
      <c r="G141" s="201"/>
      <c r="H141" s="201">
        <v>1.4999999999999999E-2</v>
      </c>
      <c r="I141" s="201">
        <v>1E-3</v>
      </c>
      <c r="J141" s="79">
        <f t="shared" ref="J141:L145" si="32">$F141*G141</f>
        <v>0</v>
      </c>
      <c r="K141" s="79">
        <f t="shared" si="32"/>
        <v>3.2852564102564101</v>
      </c>
      <c r="L141" s="13">
        <f t="shared" si="32"/>
        <v>0.21901709401709402</v>
      </c>
    </row>
    <row r="142" spans="1:12" ht="18.75" hidden="1" customHeight="1">
      <c r="A142" s="28">
        <v>7</v>
      </c>
      <c r="B142" s="29" t="s">
        <v>328</v>
      </c>
      <c r="C142" s="6" t="s">
        <v>323</v>
      </c>
      <c r="D142" s="6">
        <v>12</v>
      </c>
      <c r="E142" s="7">
        <f>'Gia_Dcu-Tbi-Vlieu'!$E$11</f>
        <v>100000</v>
      </c>
      <c r="F142" s="35">
        <f t="shared" si="30"/>
        <v>320.51282051282055</v>
      </c>
      <c r="G142" s="201"/>
      <c r="H142" s="201">
        <v>4.0000000000000001E-3</v>
      </c>
      <c r="I142" s="201">
        <v>1E-3</v>
      </c>
      <c r="J142" s="79">
        <f t="shared" si="32"/>
        <v>0</v>
      </c>
      <c r="K142" s="79">
        <f t="shared" si="32"/>
        <v>1.2820512820512822</v>
      </c>
      <c r="L142" s="13">
        <f t="shared" si="32"/>
        <v>0.32051282051282054</v>
      </c>
    </row>
    <row r="143" spans="1:12" ht="18.75" hidden="1" customHeight="1">
      <c r="A143" s="28">
        <v>8</v>
      </c>
      <c r="B143" s="29" t="s">
        <v>329</v>
      </c>
      <c r="C143" s="6" t="s">
        <v>323</v>
      </c>
      <c r="D143" s="6">
        <v>12</v>
      </c>
      <c r="E143" s="7">
        <f>'Gia_Dcu-Tbi-Vlieu'!$E$12</f>
        <v>37000</v>
      </c>
      <c r="F143" s="35">
        <f t="shared" si="30"/>
        <v>118.58974358974359</v>
      </c>
      <c r="G143" s="201"/>
      <c r="H143" s="201">
        <v>1.7000000000000001E-2</v>
      </c>
      <c r="I143" s="201">
        <v>2E-3</v>
      </c>
      <c r="J143" s="79">
        <f t="shared" si="32"/>
        <v>0</v>
      </c>
      <c r="K143" s="79">
        <f t="shared" si="32"/>
        <v>2.0160256410256414</v>
      </c>
      <c r="L143" s="13">
        <f t="shared" si="32"/>
        <v>0.2371794871794872</v>
      </c>
    </row>
    <row r="144" spans="1:12" ht="18.75" hidden="1" customHeight="1">
      <c r="A144" s="28">
        <v>9</v>
      </c>
      <c r="B144" s="29" t="s">
        <v>330</v>
      </c>
      <c r="C144" s="6" t="s">
        <v>323</v>
      </c>
      <c r="D144" s="6">
        <v>12</v>
      </c>
      <c r="E144" s="7">
        <f>'Gia_Dcu-Tbi-Vlieu'!$E$13</f>
        <v>185000</v>
      </c>
      <c r="F144" s="35">
        <f t="shared" si="30"/>
        <v>592.9487179487179</v>
      </c>
      <c r="G144" s="201"/>
      <c r="H144" s="201">
        <v>0.05</v>
      </c>
      <c r="I144" s="201">
        <v>1E-3</v>
      </c>
      <c r="J144" s="79">
        <f t="shared" si="32"/>
        <v>0</v>
      </c>
      <c r="K144" s="79">
        <f t="shared" si="32"/>
        <v>29.647435897435898</v>
      </c>
      <c r="L144" s="13">
        <f t="shared" si="32"/>
        <v>0.59294871794871795</v>
      </c>
    </row>
    <row r="145" spans="1:13" ht="18.75" hidden="1" customHeight="1">
      <c r="A145" s="28">
        <v>10</v>
      </c>
      <c r="B145" s="29" t="s">
        <v>331</v>
      </c>
      <c r="C145" s="6" t="s">
        <v>323</v>
      </c>
      <c r="D145" s="6">
        <v>9</v>
      </c>
      <c r="E145" s="7">
        <f>'Gia_Dcu-Tbi-Vlieu'!$E$14</f>
        <v>46000</v>
      </c>
      <c r="F145" s="35">
        <f t="shared" si="30"/>
        <v>196.58119658119659</v>
      </c>
      <c r="G145" s="201"/>
      <c r="H145" s="201">
        <v>2.4E-2</v>
      </c>
      <c r="I145" s="201">
        <v>1E-3</v>
      </c>
      <c r="J145" s="79">
        <f t="shared" si="32"/>
        <v>0</v>
      </c>
      <c r="K145" s="79">
        <f t="shared" si="32"/>
        <v>4.7179487179487181</v>
      </c>
      <c r="L145" s="13">
        <f t="shared" si="32"/>
        <v>0.1965811965811966</v>
      </c>
    </row>
    <row r="146" spans="1:13" ht="18.75" hidden="1" customHeight="1">
      <c r="A146" s="28"/>
      <c r="B146" s="29"/>
      <c r="C146" s="6"/>
      <c r="D146" s="6"/>
      <c r="E146" s="7"/>
      <c r="F146" s="35"/>
      <c r="G146" s="201"/>
      <c r="H146" s="201"/>
      <c r="I146" s="201"/>
      <c r="J146" s="79"/>
      <c r="K146" s="79"/>
      <c r="L146" s="13"/>
    </row>
    <row r="147" spans="1:13" ht="18.75" hidden="1" customHeight="1">
      <c r="A147" s="28"/>
      <c r="B147" s="29"/>
      <c r="C147" s="6"/>
      <c r="D147" s="6"/>
      <c r="E147" s="7"/>
      <c r="F147" s="35"/>
      <c r="G147" s="201"/>
      <c r="H147" s="201"/>
      <c r="I147" s="201"/>
      <c r="J147" s="79"/>
      <c r="K147" s="79"/>
      <c r="L147" s="13"/>
    </row>
    <row r="148" spans="1:13" ht="18.75" hidden="1" customHeight="1">
      <c r="A148" s="28">
        <v>13</v>
      </c>
      <c r="B148" s="29" t="s">
        <v>334</v>
      </c>
      <c r="C148" s="6" t="s">
        <v>323</v>
      </c>
      <c r="D148" s="6">
        <v>12</v>
      </c>
      <c r="E148" s="7">
        <f>'Gia_Dcu-Tbi-Vlieu'!$E$18</f>
        <v>11500</v>
      </c>
      <c r="F148" s="35">
        <f t="shared" si="30"/>
        <v>36.858974358974358</v>
      </c>
      <c r="G148" s="201"/>
      <c r="H148" s="201">
        <v>4.9000000000000002E-2</v>
      </c>
      <c r="I148" s="201"/>
      <c r="J148" s="79">
        <f t="shared" ref="J148:L151" si="33">$F148*G148</f>
        <v>0</v>
      </c>
      <c r="K148" s="79">
        <f t="shared" si="33"/>
        <v>1.8060897435897436</v>
      </c>
      <c r="L148" s="13">
        <f t="shared" si="33"/>
        <v>0</v>
      </c>
    </row>
    <row r="149" spans="1:13" ht="18.75" hidden="1" customHeight="1">
      <c r="A149" s="28">
        <v>14</v>
      </c>
      <c r="B149" s="29" t="s">
        <v>335</v>
      </c>
      <c r="C149" s="6" t="s">
        <v>323</v>
      </c>
      <c r="D149" s="6">
        <v>36</v>
      </c>
      <c r="E149" s="7">
        <f>'Gia_Dcu-Tbi-Vlieu'!$E$19</f>
        <v>2640000</v>
      </c>
      <c r="F149" s="35">
        <f t="shared" si="30"/>
        <v>2820.5128205128203</v>
      </c>
      <c r="G149" s="201"/>
      <c r="H149" s="201">
        <v>0.70499999999999996</v>
      </c>
      <c r="I149" s="201">
        <v>0.125</v>
      </c>
      <c r="J149" s="79">
        <f t="shared" si="33"/>
        <v>0</v>
      </c>
      <c r="K149" s="79">
        <f t="shared" si="33"/>
        <v>1988.4615384615381</v>
      </c>
      <c r="L149" s="13">
        <f t="shared" si="33"/>
        <v>352.56410256410254</v>
      </c>
    </row>
    <row r="150" spans="1:13" ht="18.75" hidden="1" customHeight="1">
      <c r="A150" s="28">
        <v>15</v>
      </c>
      <c r="B150" s="29" t="s">
        <v>336</v>
      </c>
      <c r="C150" s="6" t="s">
        <v>337</v>
      </c>
      <c r="D150" s="6">
        <v>30</v>
      </c>
      <c r="E150" s="7">
        <f>'Gia_Dcu-Tbi-Vlieu'!$E$20</f>
        <v>165000</v>
      </c>
      <c r="F150" s="35">
        <f t="shared" si="30"/>
        <v>211.53846153846155</v>
      </c>
      <c r="G150" s="201"/>
      <c r="H150" s="201">
        <v>1.4990000000000001</v>
      </c>
      <c r="I150" s="201">
        <v>0.17899999999999999</v>
      </c>
      <c r="J150" s="79">
        <f t="shared" si="33"/>
        <v>0</v>
      </c>
      <c r="K150" s="79">
        <f t="shared" si="33"/>
        <v>317.09615384615387</v>
      </c>
      <c r="L150" s="13">
        <f t="shared" si="33"/>
        <v>37.865384615384613</v>
      </c>
    </row>
    <row r="151" spans="1:13" s="30" customFormat="1" ht="18.75" hidden="1" customHeight="1">
      <c r="A151" s="151">
        <v>16</v>
      </c>
      <c r="B151" s="152" t="s">
        <v>17</v>
      </c>
      <c r="C151" s="122" t="s">
        <v>338</v>
      </c>
      <c r="D151" s="123">
        <v>1</v>
      </c>
      <c r="E151" s="153">
        <f>'Gia_Dcu-Tbi-Vlieu'!$E$21</f>
        <v>2226</v>
      </c>
      <c r="F151" s="154">
        <f>D151*E151</f>
        <v>2226</v>
      </c>
      <c r="G151" s="202"/>
      <c r="H151" s="202">
        <v>1.044</v>
      </c>
      <c r="I151" s="202">
        <v>0.158</v>
      </c>
      <c r="J151" s="155">
        <f t="shared" si="33"/>
        <v>0</v>
      </c>
      <c r="K151" s="155">
        <f t="shared" si="33"/>
        <v>2323.944</v>
      </c>
      <c r="L151" s="156">
        <f t="shared" si="33"/>
        <v>351.70800000000003</v>
      </c>
    </row>
    <row r="152" spans="1:13" s="11" customFormat="1" ht="18.75" hidden="1" customHeight="1">
      <c r="A152" s="143"/>
      <c r="B152" s="144" t="s">
        <v>456</v>
      </c>
      <c r="C152" s="145"/>
      <c r="D152" s="146"/>
      <c r="E152" s="147"/>
      <c r="F152" s="148"/>
      <c r="G152" s="203"/>
      <c r="H152" s="203"/>
      <c r="I152" s="204">
        <v>1</v>
      </c>
      <c r="J152" s="149">
        <f>SUM(J136:J150)</f>
        <v>0</v>
      </c>
      <c r="K152" s="149">
        <f>SUM(K136:K150)</f>
        <v>5061.8942307692305</v>
      </c>
      <c r="L152" s="150">
        <f>SUM(L136:L150)</f>
        <v>800.76976495726501</v>
      </c>
    </row>
    <row r="153" spans="1:13" ht="18.75" hidden="1" customHeight="1">
      <c r="A153" s="92"/>
      <c r="B153" s="140" t="s">
        <v>294</v>
      </c>
      <c r="C153" s="94"/>
      <c r="D153" s="93"/>
      <c r="E153" s="93"/>
      <c r="F153" s="141"/>
      <c r="G153" s="157"/>
      <c r="H153" s="93"/>
      <c r="I153" s="205"/>
      <c r="J153" s="205"/>
      <c r="K153" s="205"/>
      <c r="L153" s="142"/>
      <c r="M153" s="27"/>
    </row>
    <row r="154" spans="1:13" ht="18.75" hidden="1" customHeight="1">
      <c r="A154" s="28"/>
      <c r="B154" s="97" t="s">
        <v>446</v>
      </c>
      <c r="C154" s="90"/>
      <c r="D154" s="89"/>
      <c r="E154" s="89"/>
      <c r="F154" s="98"/>
      <c r="G154" s="208"/>
      <c r="H154" s="89"/>
      <c r="I154" s="206"/>
      <c r="J154" s="206" t="s">
        <v>447</v>
      </c>
      <c r="K154" s="206" t="s">
        <v>448</v>
      </c>
      <c r="L154" s="83" t="s">
        <v>449</v>
      </c>
      <c r="M154" s="27"/>
    </row>
    <row r="155" spans="1:13" s="11" customFormat="1" ht="18.75" hidden="1" customHeight="1">
      <c r="A155" s="116"/>
      <c r="B155" s="8" t="s">
        <v>120</v>
      </c>
      <c r="C155" s="81"/>
      <c r="D155" s="8"/>
      <c r="E155" s="106"/>
      <c r="F155" s="106"/>
      <c r="G155" s="106">
        <v>0.9</v>
      </c>
      <c r="H155" s="106">
        <v>1</v>
      </c>
      <c r="I155" s="106">
        <v>1</v>
      </c>
      <c r="J155" s="80">
        <f>G155*K$152</f>
        <v>4555.7048076923074</v>
      </c>
      <c r="K155" s="80">
        <f t="shared" ref="K155:K163" si="34">H155*K$152</f>
        <v>5061.8942307692305</v>
      </c>
      <c r="L155" s="14">
        <f t="shared" ref="L155:L163" si="35">I155*L$152</f>
        <v>800.76976495726501</v>
      </c>
      <c r="M155" s="4"/>
    </row>
    <row r="156" spans="1:13" s="11" customFormat="1" ht="18.75" hidden="1" customHeight="1">
      <c r="A156" s="116"/>
      <c r="B156" s="8" t="s">
        <v>121</v>
      </c>
      <c r="C156" s="8"/>
      <c r="D156" s="8"/>
      <c r="E156" s="106"/>
      <c r="F156" s="106"/>
      <c r="G156" s="106">
        <v>1</v>
      </c>
      <c r="H156" s="106">
        <v>1</v>
      </c>
      <c r="I156" s="106">
        <v>1</v>
      </c>
      <c r="J156" s="80">
        <f>G156*K$152</f>
        <v>5061.8942307692305</v>
      </c>
      <c r="K156" s="80">
        <f t="shared" si="34"/>
        <v>5061.8942307692305</v>
      </c>
      <c r="L156" s="14">
        <f t="shared" si="35"/>
        <v>800.76976495726501</v>
      </c>
      <c r="M156" s="4"/>
    </row>
    <row r="157" spans="1:13" s="11" customFormat="1" ht="18.75" hidden="1" customHeight="1">
      <c r="A157" s="116"/>
      <c r="B157" s="8" t="s">
        <v>375</v>
      </c>
      <c r="C157" s="8"/>
      <c r="D157" s="8"/>
      <c r="E157" s="106"/>
      <c r="F157" s="106"/>
      <c r="G157" s="106">
        <v>1.1000000000000001</v>
      </c>
      <c r="H157" s="106">
        <v>1</v>
      </c>
      <c r="I157" s="106">
        <v>1</v>
      </c>
      <c r="J157" s="80">
        <f>G157*K$152</f>
        <v>5568.0836538461535</v>
      </c>
      <c r="K157" s="80">
        <f t="shared" si="34"/>
        <v>5061.8942307692305</v>
      </c>
      <c r="L157" s="14">
        <f t="shared" si="35"/>
        <v>800.76976495726501</v>
      </c>
      <c r="M157" s="4"/>
    </row>
    <row r="158" spans="1:13" s="11" customFormat="1" ht="18.75" hidden="1" customHeight="1">
      <c r="A158" s="116"/>
      <c r="B158" s="8" t="s">
        <v>376</v>
      </c>
      <c r="C158" s="8"/>
      <c r="D158" s="8"/>
      <c r="E158" s="106"/>
      <c r="F158" s="106"/>
      <c r="G158" s="106">
        <v>1.2</v>
      </c>
      <c r="H158" s="106">
        <v>1</v>
      </c>
      <c r="I158" s="106">
        <v>1</v>
      </c>
      <c r="J158" s="80">
        <f>G158*K$152</f>
        <v>6074.2730769230766</v>
      </c>
      <c r="K158" s="80">
        <f t="shared" si="34"/>
        <v>5061.8942307692305</v>
      </c>
      <c r="L158" s="14">
        <f t="shared" si="35"/>
        <v>800.76976495726501</v>
      </c>
      <c r="M158" s="4"/>
    </row>
    <row r="159" spans="1:13" ht="96" hidden="1" customHeight="1">
      <c r="A159" s="28"/>
      <c r="B159" s="1008" t="s">
        <v>388</v>
      </c>
      <c r="C159" s="1009"/>
      <c r="D159" s="1009"/>
      <c r="E159" s="1009"/>
      <c r="F159" s="1010"/>
      <c r="G159" s="206"/>
      <c r="H159" s="206">
        <v>1.3</v>
      </c>
      <c r="I159" s="206">
        <v>1.3</v>
      </c>
      <c r="J159" s="7">
        <f>G159*J$152</f>
        <v>0</v>
      </c>
      <c r="K159" s="7">
        <f t="shared" si="34"/>
        <v>6580.4624999999996</v>
      </c>
      <c r="L159" s="83">
        <f t="shared" si="35"/>
        <v>1041.0006944444447</v>
      </c>
    </row>
    <row r="160" spans="1:13" ht="32.25" hidden="1" customHeight="1">
      <c r="A160" s="28"/>
      <c r="B160" s="1008" t="s">
        <v>396</v>
      </c>
      <c r="C160" s="1009"/>
      <c r="D160" s="1009"/>
      <c r="E160" s="1009"/>
      <c r="F160" s="1010"/>
      <c r="G160" s="206"/>
      <c r="H160" s="207">
        <v>3.0000000000000001E-3</v>
      </c>
      <c r="I160" s="207">
        <v>3.0000000000000001E-3</v>
      </c>
      <c r="J160" s="7">
        <f>G160*J$152</f>
        <v>0</v>
      </c>
      <c r="K160" s="7">
        <f t="shared" si="34"/>
        <v>15.185682692307692</v>
      </c>
      <c r="L160" s="83">
        <f t="shared" si="35"/>
        <v>2.4023092948717952</v>
      </c>
    </row>
    <row r="161" spans="1:12" ht="50.25" hidden="1" customHeight="1">
      <c r="A161" s="28"/>
      <c r="B161" s="1008" t="s">
        <v>397</v>
      </c>
      <c r="C161" s="1009"/>
      <c r="D161" s="1009"/>
      <c r="E161" s="1009"/>
      <c r="F161" s="1010"/>
      <c r="G161" s="206"/>
      <c r="H161" s="206"/>
      <c r="I161" s="206"/>
      <c r="J161" s="7">
        <f>G161*J$152</f>
        <v>0</v>
      </c>
      <c r="K161" s="7">
        <f t="shared" si="34"/>
        <v>0</v>
      </c>
      <c r="L161" s="83">
        <f t="shared" si="35"/>
        <v>0</v>
      </c>
    </row>
    <row r="162" spans="1:12" ht="45" hidden="1" customHeight="1">
      <c r="A162" s="28"/>
      <c r="B162" s="1008" t="s">
        <v>398</v>
      </c>
      <c r="C162" s="1009"/>
      <c r="D162" s="1009"/>
      <c r="E162" s="1009"/>
      <c r="F162" s="1010"/>
      <c r="G162" s="206"/>
      <c r="H162" s="206">
        <v>0.2</v>
      </c>
      <c r="I162" s="206"/>
      <c r="J162" s="7">
        <f>G162*J$152</f>
        <v>0</v>
      </c>
      <c r="K162" s="7">
        <f t="shared" si="34"/>
        <v>1012.3788461538461</v>
      </c>
      <c r="L162" s="83">
        <f t="shared" si="35"/>
        <v>0</v>
      </c>
    </row>
    <row r="163" spans="1:12" ht="32.25" hidden="1" customHeight="1">
      <c r="A163" s="161"/>
      <c r="B163" s="1017" t="s">
        <v>399</v>
      </c>
      <c r="C163" s="1018"/>
      <c r="D163" s="1018"/>
      <c r="E163" s="1018"/>
      <c r="F163" s="1019"/>
      <c r="G163" s="536"/>
      <c r="H163" s="536">
        <v>0.9</v>
      </c>
      <c r="I163" s="536">
        <v>0.9</v>
      </c>
      <c r="J163" s="133">
        <f>G163*J$152</f>
        <v>0</v>
      </c>
      <c r="K163" s="133">
        <f t="shared" si="34"/>
        <v>4555.7048076923074</v>
      </c>
      <c r="L163" s="521">
        <f t="shared" si="35"/>
        <v>720.6927884615385</v>
      </c>
    </row>
    <row r="164" spans="1:12">
      <c r="A164" s="987" t="s">
        <v>23</v>
      </c>
      <c r="B164" s="987" t="s">
        <v>2</v>
      </c>
      <c r="C164" s="987" t="s">
        <v>38</v>
      </c>
      <c r="D164" s="987" t="s">
        <v>110</v>
      </c>
      <c r="E164" s="987" t="s">
        <v>372</v>
      </c>
      <c r="F164" s="1012" t="s">
        <v>27</v>
      </c>
      <c r="G164" s="1013" t="s">
        <v>318</v>
      </c>
      <c r="H164" s="1013"/>
      <c r="I164" s="1013"/>
      <c r="J164" s="1014" t="s">
        <v>35</v>
      </c>
      <c r="K164" s="1014"/>
      <c r="L164" s="1014"/>
    </row>
    <row r="165" spans="1:12" ht="30">
      <c r="A165" s="987"/>
      <c r="B165" s="987"/>
      <c r="C165" s="987"/>
      <c r="D165" s="987"/>
      <c r="E165" s="987"/>
      <c r="F165" s="1012"/>
      <c r="G165" s="537" t="s">
        <v>321</v>
      </c>
      <c r="H165" s="537" t="s">
        <v>692</v>
      </c>
      <c r="I165" s="537"/>
      <c r="J165" s="423" t="s">
        <v>321</v>
      </c>
      <c r="K165" s="537" t="s">
        <v>692</v>
      </c>
      <c r="L165" s="423"/>
    </row>
    <row r="166" spans="1:12" s="9" customFormat="1" ht="36.65" customHeight="1">
      <c r="A166" s="236" t="str">
        <f>L_CViec!A268</f>
        <v>V</v>
      </c>
      <c r="B166" s="1032" t="str">
        <f>L_CViec!B268</f>
        <v>Đăng ký, cấp đổi, cấp lại Giấy chứng nhận riêng lẻ đối với hộ gia đình, cá nhân, cộng đồng dân cư, người gốc Việt Nam định cư ở nước ngoài</v>
      </c>
      <c r="C166" s="1032">
        <f>L_CViec!E325</f>
        <v>0</v>
      </c>
      <c r="D166" s="1032">
        <f>L_CViec!F325</f>
        <v>0</v>
      </c>
      <c r="E166" s="1032"/>
      <c r="F166" s="1032"/>
      <c r="G166" s="1032"/>
      <c r="H166" s="1032"/>
      <c r="I166" s="1032"/>
      <c r="J166" s="538"/>
      <c r="K166" s="538"/>
      <c r="L166" s="539" t="s">
        <v>431</v>
      </c>
    </row>
    <row r="167" spans="1:12" ht="18.75" customHeight="1">
      <c r="A167" s="173">
        <v>1</v>
      </c>
      <c r="B167" s="394" t="s">
        <v>324</v>
      </c>
      <c r="C167" s="244" t="s">
        <v>323</v>
      </c>
      <c r="D167" s="244">
        <v>96</v>
      </c>
      <c r="E167" s="212">
        <f>'Gia_Dcu-Tbi-Vlieu'!$E$6</f>
        <v>600000</v>
      </c>
      <c r="F167" s="246">
        <f t="shared" ref="F167:F176" si="36">E167/D167/26</f>
        <v>240.38461538461539</v>
      </c>
      <c r="G167" s="541">
        <v>1.7999999999999999E-2</v>
      </c>
      <c r="H167" s="541">
        <v>2.4660000000000002</v>
      </c>
      <c r="I167" s="541"/>
      <c r="J167" s="247">
        <f t="shared" ref="J167:L169" si="37">$F167*G167</f>
        <v>4.3269230769230766</v>
      </c>
      <c r="K167" s="247">
        <f t="shared" si="37"/>
        <v>592.78846153846155</v>
      </c>
      <c r="L167" s="247">
        <f t="shared" si="37"/>
        <v>0</v>
      </c>
    </row>
    <row r="168" spans="1:12" ht="18.75" customHeight="1">
      <c r="A168" s="173">
        <v>2</v>
      </c>
      <c r="B168" s="394" t="s">
        <v>47</v>
      </c>
      <c r="C168" s="244" t="s">
        <v>323</v>
      </c>
      <c r="D168" s="244">
        <v>96</v>
      </c>
      <c r="E168" s="212">
        <f>'Gia_Dcu-Tbi-Vlieu'!$E$7</f>
        <v>1500000</v>
      </c>
      <c r="F168" s="246">
        <f t="shared" si="36"/>
        <v>600.96153846153845</v>
      </c>
      <c r="G168" s="541">
        <v>1.7999999999999999E-2</v>
      </c>
      <c r="H168" s="541">
        <v>2.4660000000000002</v>
      </c>
      <c r="I168" s="541"/>
      <c r="J168" s="247">
        <f t="shared" si="37"/>
        <v>10.817307692307692</v>
      </c>
      <c r="K168" s="247">
        <f t="shared" si="37"/>
        <v>1481.971153846154</v>
      </c>
      <c r="L168" s="247">
        <f t="shared" si="37"/>
        <v>0</v>
      </c>
    </row>
    <row r="169" spans="1:12" ht="18.75" customHeight="1">
      <c r="A169" s="173">
        <v>3</v>
      </c>
      <c r="B169" s="394" t="s">
        <v>325</v>
      </c>
      <c r="C169" s="244" t="s">
        <v>323</v>
      </c>
      <c r="D169" s="244">
        <v>96</v>
      </c>
      <c r="E169" s="212">
        <f>'Gia_Dcu-Tbi-Vlieu'!$E$8</f>
        <v>2250000</v>
      </c>
      <c r="F169" s="246">
        <f t="shared" si="36"/>
        <v>901.44230769230774</v>
      </c>
      <c r="G169" s="541">
        <v>1.7999999999999999E-2</v>
      </c>
      <c r="H169" s="541">
        <v>1.8660000000000001</v>
      </c>
      <c r="I169" s="541"/>
      <c r="J169" s="247">
        <f t="shared" si="37"/>
        <v>16.225961538461537</v>
      </c>
      <c r="K169" s="247">
        <f t="shared" si="37"/>
        <v>1682.0913461538464</v>
      </c>
      <c r="L169" s="247">
        <f t="shared" si="37"/>
        <v>0</v>
      </c>
    </row>
    <row r="170" spans="1:12" ht="18.75" customHeight="1">
      <c r="A170" s="173">
        <v>4</v>
      </c>
      <c r="B170" s="394" t="s">
        <v>328</v>
      </c>
      <c r="C170" s="244" t="s">
        <v>323</v>
      </c>
      <c r="D170" s="244">
        <v>12</v>
      </c>
      <c r="E170" s="212">
        <f>'Gia_Dcu-Tbi-Vlieu'!$E$11</f>
        <v>100000</v>
      </c>
      <c r="F170" s="246">
        <f t="shared" si="36"/>
        <v>320.51282051282055</v>
      </c>
      <c r="G170" s="541"/>
      <c r="H170" s="541">
        <v>1.0999999999999999E-2</v>
      </c>
      <c r="I170" s="541"/>
      <c r="J170" s="247">
        <f t="shared" ref="J170:L173" si="38">$F170*G170</f>
        <v>0</v>
      </c>
      <c r="K170" s="247">
        <f t="shared" si="38"/>
        <v>3.525641025641026</v>
      </c>
      <c r="L170" s="247">
        <f t="shared" si="38"/>
        <v>0</v>
      </c>
    </row>
    <row r="171" spans="1:12" ht="18.75" customHeight="1">
      <c r="A171" s="173">
        <v>5</v>
      </c>
      <c r="B171" s="394" t="s">
        <v>329</v>
      </c>
      <c r="C171" s="244" t="s">
        <v>323</v>
      </c>
      <c r="D171" s="244">
        <v>12</v>
      </c>
      <c r="E171" s="212">
        <f>'Gia_Dcu-Tbi-Vlieu'!$E$12</f>
        <v>37000</v>
      </c>
      <c r="F171" s="246">
        <f t="shared" si="36"/>
        <v>118.58974358974359</v>
      </c>
      <c r="G171" s="541"/>
      <c r="H171" s="541">
        <v>0.48</v>
      </c>
      <c r="I171" s="541"/>
      <c r="J171" s="247">
        <f t="shared" si="38"/>
        <v>0</v>
      </c>
      <c r="K171" s="247">
        <f t="shared" si="38"/>
        <v>56.92307692307692</v>
      </c>
      <c r="L171" s="247">
        <f t="shared" si="38"/>
        <v>0</v>
      </c>
    </row>
    <row r="172" spans="1:12" ht="18.75" customHeight="1">
      <c r="A172" s="173">
        <v>6</v>
      </c>
      <c r="B172" s="394" t="s">
        <v>330</v>
      </c>
      <c r="C172" s="244" t="s">
        <v>323</v>
      </c>
      <c r="D172" s="244">
        <v>12</v>
      </c>
      <c r="E172" s="212">
        <f>'Gia_Dcu-Tbi-Vlieu'!$E$13</f>
        <v>185000</v>
      </c>
      <c r="F172" s="246">
        <f t="shared" si="36"/>
        <v>592.9487179487179</v>
      </c>
      <c r="G172" s="541"/>
      <c r="H172" s="541">
        <v>0.15</v>
      </c>
      <c r="I172" s="541"/>
      <c r="J172" s="247">
        <f t="shared" si="38"/>
        <v>0</v>
      </c>
      <c r="K172" s="247">
        <f t="shared" si="38"/>
        <v>88.942307692307679</v>
      </c>
      <c r="L172" s="247">
        <f t="shared" si="38"/>
        <v>0</v>
      </c>
    </row>
    <row r="173" spans="1:12" ht="18.75" customHeight="1">
      <c r="A173" s="173">
        <v>7</v>
      </c>
      <c r="B173" s="394" t="s">
        <v>331</v>
      </c>
      <c r="C173" s="244" t="s">
        <v>323</v>
      </c>
      <c r="D173" s="244">
        <v>9</v>
      </c>
      <c r="E173" s="212">
        <f>'Gia_Dcu-Tbi-Vlieu'!$E$14</f>
        <v>46000</v>
      </c>
      <c r="F173" s="246">
        <f t="shared" si="36"/>
        <v>196.58119658119659</v>
      </c>
      <c r="G173" s="541"/>
      <c r="H173" s="541">
        <v>7.1999999999999995E-2</v>
      </c>
      <c r="I173" s="541"/>
      <c r="J173" s="247">
        <f t="shared" si="38"/>
        <v>0</v>
      </c>
      <c r="K173" s="247">
        <f t="shared" si="38"/>
        <v>14.153846153846153</v>
      </c>
      <c r="L173" s="247">
        <f t="shared" si="38"/>
        <v>0</v>
      </c>
    </row>
    <row r="174" spans="1:12" ht="18.75" customHeight="1">
      <c r="A174" s="173">
        <v>8</v>
      </c>
      <c r="B174" s="394" t="s">
        <v>334</v>
      </c>
      <c r="C174" s="244" t="s">
        <v>323</v>
      </c>
      <c r="D174" s="244">
        <v>12</v>
      </c>
      <c r="E174" s="212">
        <f>'Gia_Dcu-Tbi-Vlieu'!$E$18</f>
        <v>11500</v>
      </c>
      <c r="F174" s="246">
        <f t="shared" si="36"/>
        <v>36.858974358974358</v>
      </c>
      <c r="G174" s="541"/>
      <c r="H174" s="541">
        <v>0.15</v>
      </c>
      <c r="I174" s="541"/>
      <c r="J174" s="247">
        <f t="shared" ref="J174:L177" si="39">$F174*G174</f>
        <v>0</v>
      </c>
      <c r="K174" s="247">
        <f t="shared" si="39"/>
        <v>5.5288461538461533</v>
      </c>
      <c r="L174" s="247">
        <f t="shared" si="39"/>
        <v>0</v>
      </c>
    </row>
    <row r="175" spans="1:12" ht="18.75" customHeight="1">
      <c r="A175" s="173">
        <v>9</v>
      </c>
      <c r="B175" s="394" t="s">
        <v>335</v>
      </c>
      <c r="C175" s="244" t="s">
        <v>323</v>
      </c>
      <c r="D175" s="244">
        <v>36</v>
      </c>
      <c r="E175" s="212">
        <f>'Gia_Dcu-Tbi-Vlieu'!$E$19</f>
        <v>2640000</v>
      </c>
      <c r="F175" s="246">
        <f t="shared" si="36"/>
        <v>2820.5128205128203</v>
      </c>
      <c r="G175" s="541">
        <v>8.9999999999999993E-3</v>
      </c>
      <c r="H175" s="541">
        <v>0.91100000000000003</v>
      </c>
      <c r="I175" s="541"/>
      <c r="J175" s="247">
        <f t="shared" si="39"/>
        <v>25.38461538461538</v>
      </c>
      <c r="K175" s="247">
        <f t="shared" si="39"/>
        <v>2569.4871794871792</v>
      </c>
      <c r="L175" s="247">
        <f t="shared" si="39"/>
        <v>0</v>
      </c>
    </row>
    <row r="176" spans="1:12" ht="18.75" customHeight="1">
      <c r="A176" s="173">
        <v>10</v>
      </c>
      <c r="B176" s="394" t="s">
        <v>336</v>
      </c>
      <c r="C176" s="244" t="s">
        <v>337</v>
      </c>
      <c r="D176" s="244">
        <v>30</v>
      </c>
      <c r="E176" s="212">
        <f>'Gia_Dcu-Tbi-Vlieu'!$E$20</f>
        <v>165000</v>
      </c>
      <c r="F176" s="246">
        <f t="shared" si="36"/>
        <v>211.53846153846155</v>
      </c>
      <c r="G176" s="541">
        <v>1.7999999999999999E-2</v>
      </c>
      <c r="H176" s="541">
        <v>2.4660000000000002</v>
      </c>
      <c r="I176" s="541"/>
      <c r="J176" s="247">
        <f t="shared" si="39"/>
        <v>3.8076923076923075</v>
      </c>
      <c r="K176" s="247">
        <f t="shared" si="39"/>
        <v>521.65384615384619</v>
      </c>
      <c r="L176" s="247">
        <f t="shared" si="39"/>
        <v>0</v>
      </c>
    </row>
    <row r="177" spans="1:13" ht="18.75" customHeight="1">
      <c r="A177" s="173">
        <v>11</v>
      </c>
      <c r="B177" s="394" t="s">
        <v>17</v>
      </c>
      <c r="C177" s="244" t="s">
        <v>338</v>
      </c>
      <c r="D177" s="398">
        <v>1</v>
      </c>
      <c r="E177" s="212">
        <f>'Gia_Dcu-Tbi-Vlieu'!$E$21</f>
        <v>2226</v>
      </c>
      <c r="F177" s="246">
        <f>D177*E177</f>
        <v>2226</v>
      </c>
      <c r="G177" s="541">
        <v>1.4E-2</v>
      </c>
      <c r="H177" s="541">
        <v>1.5189999999999999</v>
      </c>
      <c r="I177" s="541"/>
      <c r="J177" s="247">
        <f t="shared" si="39"/>
        <v>31.164000000000001</v>
      </c>
      <c r="K177" s="247">
        <f t="shared" si="39"/>
        <v>3381.2939999999999</v>
      </c>
      <c r="L177" s="247">
        <f t="shared" si="39"/>
        <v>0</v>
      </c>
    </row>
    <row r="178" spans="1:13" s="11" customFormat="1" ht="18.75" customHeight="1">
      <c r="A178" s="543"/>
      <c r="B178" s="177" t="s">
        <v>456</v>
      </c>
      <c r="C178" s="167"/>
      <c r="D178" s="168"/>
      <c r="E178" s="158"/>
      <c r="F178" s="169"/>
      <c r="G178" s="210"/>
      <c r="H178" s="210"/>
      <c r="I178" s="211">
        <v>1</v>
      </c>
      <c r="J178" s="170">
        <f>SUM(J167:J176)*I$178+J177</f>
        <v>91.726499999999987</v>
      </c>
      <c r="K178" s="170">
        <f>SUM(K167:K176)*I$178+K177</f>
        <v>10398.359705128205</v>
      </c>
      <c r="L178" s="158">
        <f>SUM(L167:L176)</f>
        <v>0</v>
      </c>
    </row>
    <row r="179" spans="1:13" ht="18.75" customHeight="1">
      <c r="A179" s="173"/>
      <c r="B179" s="159" t="s">
        <v>294</v>
      </c>
      <c r="C179" s="173"/>
      <c r="D179" s="174"/>
      <c r="E179" s="174"/>
      <c r="F179" s="175"/>
      <c r="G179" s="212"/>
      <c r="H179" s="174"/>
      <c r="I179" s="213"/>
      <c r="J179" s="213"/>
      <c r="K179" s="213"/>
      <c r="L179" s="212"/>
      <c r="M179" s="27"/>
    </row>
    <row r="180" spans="1:13" ht="19.5" customHeight="1">
      <c r="A180" s="173"/>
      <c r="B180" s="1011" t="s">
        <v>382</v>
      </c>
      <c r="C180" s="1011"/>
      <c r="D180" s="1011"/>
      <c r="E180" s="1011"/>
      <c r="F180" s="1011"/>
      <c r="G180" s="213"/>
      <c r="H180" s="213"/>
      <c r="I180" s="213"/>
      <c r="J180" s="212"/>
      <c r="K180" s="212"/>
      <c r="L180" s="212"/>
    </row>
    <row r="181" spans="1:13" ht="48" customHeight="1">
      <c r="A181" s="173"/>
      <c r="B181" s="1011" t="s">
        <v>596</v>
      </c>
      <c r="C181" s="1011"/>
      <c r="D181" s="1011"/>
      <c r="E181" s="1011"/>
      <c r="F181" s="1011"/>
      <c r="G181" s="213">
        <v>1.3</v>
      </c>
      <c r="H181" s="213">
        <v>1.3</v>
      </c>
      <c r="I181" s="213"/>
      <c r="J181" s="212">
        <f>G181*J178</f>
        <v>119.24444999999999</v>
      </c>
      <c r="K181" s="212">
        <f>H181*K178</f>
        <v>13517.867616666666</v>
      </c>
      <c r="L181" s="212"/>
    </row>
    <row r="182" spans="1:13">
      <c r="A182" s="1015" t="s">
        <v>23</v>
      </c>
      <c r="B182" s="1004" t="s">
        <v>2</v>
      </c>
      <c r="C182" s="1004" t="s">
        <v>38</v>
      </c>
      <c r="D182" s="1004" t="s">
        <v>110</v>
      </c>
      <c r="E182" s="1004" t="s">
        <v>372</v>
      </c>
      <c r="F182" s="990" t="s">
        <v>27</v>
      </c>
      <c r="G182" s="1016" t="s">
        <v>318</v>
      </c>
      <c r="H182" s="1016"/>
      <c r="I182" s="1016"/>
      <c r="J182" s="1005" t="s">
        <v>35</v>
      </c>
      <c r="K182" s="1005"/>
      <c r="L182" s="1006"/>
    </row>
    <row r="183" spans="1:13" ht="48" customHeight="1">
      <c r="A183" s="982"/>
      <c r="B183" s="984"/>
      <c r="C183" s="984"/>
      <c r="D183" s="984"/>
      <c r="E183" s="984"/>
      <c r="F183" s="986"/>
      <c r="G183" s="129" t="s">
        <v>588</v>
      </c>
      <c r="H183" s="129" t="s">
        <v>320</v>
      </c>
      <c r="I183" s="129" t="s">
        <v>321</v>
      </c>
      <c r="J183" s="129" t="s">
        <v>588</v>
      </c>
      <c r="K183" s="130" t="s">
        <v>320</v>
      </c>
      <c r="L183" s="131" t="s">
        <v>321</v>
      </c>
    </row>
    <row r="184" spans="1:13" s="9" customFormat="1" ht="36.65" customHeight="1">
      <c r="A184" s="139" t="str">
        <f>L_CViec!A325</f>
        <v>VI</v>
      </c>
      <c r="B184" s="1037" t="str">
        <f>L_CViec!B325</f>
        <v>Đăng ký, cấp đổi, cấp lại Giấy chứng nhận riêng lẻ đối với tổ chức, tổ chức tôn giáo, tổ chức tôn giáo trực thuộc, tổ chức nước ngoài có chức năng ngoại giao, tổ chức kinh tế có vốn đầu tư nước ngoài, tổ chức nước ngoài, cá nhân nước ngoài</v>
      </c>
      <c r="C184" s="1038">
        <f>L_CViec!E363</f>
        <v>0</v>
      </c>
      <c r="D184" s="1038">
        <f>L_CViec!F363</f>
        <v>0</v>
      </c>
      <c r="E184" s="1038"/>
      <c r="F184" s="1038"/>
      <c r="G184" s="1038"/>
      <c r="H184" s="1038"/>
      <c r="I184" s="1039"/>
      <c r="J184" s="137"/>
      <c r="K184" s="137"/>
      <c r="L184" s="138" t="s">
        <v>432</v>
      </c>
    </row>
    <row r="185" spans="1:13" ht="18.75" customHeight="1">
      <c r="A185" s="28">
        <v>1</v>
      </c>
      <c r="B185" s="29" t="s">
        <v>324</v>
      </c>
      <c r="C185" s="6" t="s">
        <v>323</v>
      </c>
      <c r="D185" s="6">
        <v>96</v>
      </c>
      <c r="E185" s="27">
        <f>'Gia_Dcu-Tbi-Vlieu'!$E$6</f>
        <v>600000</v>
      </c>
      <c r="F185" s="35">
        <f t="shared" ref="F185:F194" si="40">E185/D185/26</f>
        <v>240.38461538461539</v>
      </c>
      <c r="G185" s="201">
        <v>2.4E-2</v>
      </c>
      <c r="H185" s="201"/>
      <c r="I185" s="201">
        <v>3.2639999999999998</v>
      </c>
      <c r="J185" s="79">
        <f t="shared" ref="J185:L187" si="41">$F185*G185</f>
        <v>5.7692307692307692</v>
      </c>
      <c r="K185" s="79">
        <f t="shared" si="41"/>
        <v>0</v>
      </c>
      <c r="L185" s="13">
        <f t="shared" si="41"/>
        <v>784.61538461538453</v>
      </c>
    </row>
    <row r="186" spans="1:13" ht="18.75" customHeight="1">
      <c r="A186" s="28">
        <v>2</v>
      </c>
      <c r="B186" s="29" t="s">
        <v>47</v>
      </c>
      <c r="C186" s="6" t="s">
        <v>323</v>
      </c>
      <c r="D186" s="6">
        <v>96</v>
      </c>
      <c r="E186" s="27">
        <f>'Gia_Dcu-Tbi-Vlieu'!$E$7</f>
        <v>1500000</v>
      </c>
      <c r="F186" s="35">
        <f t="shared" si="40"/>
        <v>600.96153846153845</v>
      </c>
      <c r="G186" s="201">
        <v>2.4E-2</v>
      </c>
      <c r="H186" s="201"/>
      <c r="I186" s="201">
        <v>3.2639999999999998</v>
      </c>
      <c r="J186" s="79">
        <f t="shared" si="41"/>
        <v>14.423076923076923</v>
      </c>
      <c r="K186" s="79">
        <f t="shared" si="41"/>
        <v>0</v>
      </c>
      <c r="L186" s="13">
        <f t="shared" si="41"/>
        <v>1961.5384615384614</v>
      </c>
    </row>
    <row r="187" spans="1:13" ht="18.75" customHeight="1">
      <c r="A187" s="28">
        <v>3</v>
      </c>
      <c r="B187" s="29" t="s">
        <v>325</v>
      </c>
      <c r="C187" s="6" t="s">
        <v>323</v>
      </c>
      <c r="D187" s="6">
        <v>60</v>
      </c>
      <c r="E187" s="27">
        <f>'Gia_Dcu-Tbi-Vlieu'!$E$8</f>
        <v>2250000</v>
      </c>
      <c r="F187" s="35">
        <f t="shared" si="40"/>
        <v>1442.3076923076924</v>
      </c>
      <c r="G187" s="201">
        <v>2.4E-2</v>
      </c>
      <c r="H187" s="201"/>
      <c r="I187" s="201">
        <v>2.464</v>
      </c>
      <c r="J187" s="79">
        <f t="shared" si="41"/>
        <v>34.61538461538462</v>
      </c>
      <c r="K187" s="79">
        <f t="shared" si="41"/>
        <v>0</v>
      </c>
      <c r="L187" s="13">
        <f t="shared" si="41"/>
        <v>3553.8461538461538</v>
      </c>
    </row>
    <row r="188" spans="1:13" ht="18.75" customHeight="1">
      <c r="A188" s="28">
        <v>4</v>
      </c>
      <c r="B188" s="29" t="s">
        <v>328</v>
      </c>
      <c r="C188" s="6" t="s">
        <v>323</v>
      </c>
      <c r="D188" s="6">
        <v>12</v>
      </c>
      <c r="E188" s="27">
        <f>'Gia_Dcu-Tbi-Vlieu'!$E$11</f>
        <v>100000</v>
      </c>
      <c r="F188" s="35">
        <f t="shared" si="40"/>
        <v>320.51282051282055</v>
      </c>
      <c r="G188" s="201"/>
      <c r="H188" s="201"/>
      <c r="I188" s="201">
        <v>1.4E-2</v>
      </c>
      <c r="J188" s="79">
        <f t="shared" ref="J188:L191" si="42">$F188*G188</f>
        <v>0</v>
      </c>
      <c r="K188" s="79">
        <f t="shared" si="42"/>
        <v>0</v>
      </c>
      <c r="L188" s="13">
        <f t="shared" si="42"/>
        <v>4.4871794871794881</v>
      </c>
    </row>
    <row r="189" spans="1:13" ht="18.75" customHeight="1">
      <c r="A189" s="28">
        <v>5</v>
      </c>
      <c r="B189" s="29" t="s">
        <v>329</v>
      </c>
      <c r="C189" s="6" t="s">
        <v>323</v>
      </c>
      <c r="D189" s="6">
        <v>12</v>
      </c>
      <c r="E189" s="27">
        <f>'Gia_Dcu-Tbi-Vlieu'!$E$12</f>
        <v>37000</v>
      </c>
      <c r="F189" s="35">
        <f t="shared" si="40"/>
        <v>118.58974358974359</v>
      </c>
      <c r="G189" s="201"/>
      <c r="H189" s="201"/>
      <c r="I189" s="201">
        <v>0.64</v>
      </c>
      <c r="J189" s="79">
        <f t="shared" si="42"/>
        <v>0</v>
      </c>
      <c r="K189" s="79">
        <f t="shared" si="42"/>
        <v>0</v>
      </c>
      <c r="L189" s="13">
        <f t="shared" si="42"/>
        <v>75.897435897435898</v>
      </c>
    </row>
    <row r="190" spans="1:13" ht="18.75" customHeight="1">
      <c r="A190" s="28">
        <v>6</v>
      </c>
      <c r="B190" s="29" t="s">
        <v>330</v>
      </c>
      <c r="C190" s="6" t="s">
        <v>323</v>
      </c>
      <c r="D190" s="6">
        <v>12</v>
      </c>
      <c r="E190" s="27">
        <f>'Gia_Dcu-Tbi-Vlieu'!$E$13</f>
        <v>185000</v>
      </c>
      <c r="F190" s="35">
        <f t="shared" si="40"/>
        <v>592.9487179487179</v>
      </c>
      <c r="G190" s="201"/>
      <c r="H190" s="201"/>
      <c r="I190" s="201">
        <v>0.2</v>
      </c>
      <c r="J190" s="79">
        <f t="shared" si="42"/>
        <v>0</v>
      </c>
      <c r="K190" s="79">
        <f t="shared" si="42"/>
        <v>0</v>
      </c>
      <c r="L190" s="13">
        <f t="shared" si="42"/>
        <v>118.58974358974359</v>
      </c>
    </row>
    <row r="191" spans="1:13" ht="18.75" customHeight="1">
      <c r="A191" s="28">
        <v>7</v>
      </c>
      <c r="B191" s="29" t="s">
        <v>331</v>
      </c>
      <c r="C191" s="6" t="s">
        <v>323</v>
      </c>
      <c r="D191" s="6">
        <v>9</v>
      </c>
      <c r="E191" s="27">
        <f>'Gia_Dcu-Tbi-Vlieu'!$E$14</f>
        <v>46000</v>
      </c>
      <c r="F191" s="35">
        <f t="shared" si="40"/>
        <v>196.58119658119659</v>
      </c>
      <c r="G191" s="201"/>
      <c r="H191" s="201"/>
      <c r="I191" s="201">
        <v>9.6000000000000002E-2</v>
      </c>
      <c r="J191" s="79">
        <f t="shared" si="42"/>
        <v>0</v>
      </c>
      <c r="K191" s="79">
        <f t="shared" si="42"/>
        <v>0</v>
      </c>
      <c r="L191" s="13">
        <f t="shared" si="42"/>
        <v>18.871794871794872</v>
      </c>
    </row>
    <row r="192" spans="1:13" ht="18.75" customHeight="1">
      <c r="A192" s="28">
        <v>8</v>
      </c>
      <c r="B192" s="29" t="s">
        <v>334</v>
      </c>
      <c r="C192" s="6" t="s">
        <v>323</v>
      </c>
      <c r="D192" s="6">
        <v>12</v>
      </c>
      <c r="E192" s="27">
        <f>'Gia_Dcu-Tbi-Vlieu'!$E$18</f>
        <v>11500</v>
      </c>
      <c r="F192" s="35">
        <f t="shared" si="40"/>
        <v>36.858974358974358</v>
      </c>
      <c r="G192" s="201"/>
      <c r="H192" s="201"/>
      <c r="I192" s="201">
        <v>0.2</v>
      </c>
      <c r="J192" s="79">
        <f t="shared" ref="J192:L195" si="43">$F192*G192</f>
        <v>0</v>
      </c>
      <c r="K192" s="79">
        <f t="shared" si="43"/>
        <v>0</v>
      </c>
      <c r="L192" s="13">
        <f t="shared" si="43"/>
        <v>7.3717948717948723</v>
      </c>
    </row>
    <row r="193" spans="1:14" ht="18.75" customHeight="1">
      <c r="A193" s="28">
        <v>9</v>
      </c>
      <c r="B193" s="29" t="s">
        <v>335</v>
      </c>
      <c r="C193" s="6" t="s">
        <v>323</v>
      </c>
      <c r="D193" s="6">
        <v>36</v>
      </c>
      <c r="E193" s="27">
        <f>'Gia_Dcu-Tbi-Vlieu'!$E$19</f>
        <v>2640000</v>
      </c>
      <c r="F193" s="35">
        <f t="shared" si="40"/>
        <v>2820.5128205128203</v>
      </c>
      <c r="G193" s="201">
        <v>1.2E-2</v>
      </c>
      <c r="H193" s="201"/>
      <c r="I193" s="201">
        <v>1.202</v>
      </c>
      <c r="J193" s="79">
        <f t="shared" si="43"/>
        <v>33.846153846153847</v>
      </c>
      <c r="K193" s="79">
        <f t="shared" si="43"/>
        <v>0</v>
      </c>
      <c r="L193" s="13">
        <f t="shared" si="43"/>
        <v>3390.2564102564097</v>
      </c>
    </row>
    <row r="194" spans="1:14" ht="18.75" customHeight="1">
      <c r="A194" s="28">
        <v>10</v>
      </c>
      <c r="B194" s="29" t="s">
        <v>336</v>
      </c>
      <c r="C194" s="6" t="s">
        <v>337</v>
      </c>
      <c r="D194" s="6">
        <v>30</v>
      </c>
      <c r="E194" s="27">
        <f>'Gia_Dcu-Tbi-Vlieu'!$E$20</f>
        <v>165000</v>
      </c>
      <c r="F194" s="35">
        <f t="shared" si="40"/>
        <v>211.53846153846155</v>
      </c>
      <c r="G194" s="201">
        <v>2.4E-2</v>
      </c>
      <c r="H194" s="201"/>
      <c r="I194" s="201">
        <v>3.2639999999999998</v>
      </c>
      <c r="J194" s="79">
        <f t="shared" si="43"/>
        <v>5.0769230769230775</v>
      </c>
      <c r="K194" s="79">
        <f t="shared" si="43"/>
        <v>0</v>
      </c>
      <c r="L194" s="13">
        <f t="shared" si="43"/>
        <v>690.46153846153845</v>
      </c>
    </row>
    <row r="195" spans="1:14" ht="18.75" customHeight="1">
      <c r="A195" s="28">
        <v>11</v>
      </c>
      <c r="B195" s="529" t="s">
        <v>17</v>
      </c>
      <c r="C195" s="32" t="s">
        <v>338</v>
      </c>
      <c r="D195" s="530">
        <v>1</v>
      </c>
      <c r="E195" s="33">
        <f>'Gia_Dcu-Tbi-Vlieu'!$E$21</f>
        <v>2226</v>
      </c>
      <c r="F195" s="531">
        <f>D195*E195</f>
        <v>2226</v>
      </c>
      <c r="G195" s="532">
        <v>1.7999999999999999E-2</v>
      </c>
      <c r="H195" s="532"/>
      <c r="I195" s="532">
        <v>2.0059999999999998</v>
      </c>
      <c r="J195" s="533">
        <f t="shared" si="43"/>
        <v>40.067999999999998</v>
      </c>
      <c r="K195" s="533">
        <f t="shared" si="43"/>
        <v>0</v>
      </c>
      <c r="L195" s="31">
        <f t="shared" si="43"/>
        <v>4465.3559999999998</v>
      </c>
    </row>
    <row r="196" spans="1:14" s="11" customFormat="1" ht="30" customHeight="1">
      <c r="A196" s="143"/>
      <c r="B196" s="144" t="s">
        <v>456</v>
      </c>
      <c r="C196" s="145"/>
      <c r="D196" s="146"/>
      <c r="E196" s="147"/>
      <c r="F196" s="148"/>
      <c r="G196" s="203"/>
      <c r="H196" s="203"/>
      <c r="I196" s="204">
        <v>1</v>
      </c>
      <c r="J196" s="149">
        <f>SUM(J185:J194)*$I196+J195</f>
        <v>133.79876923076924</v>
      </c>
      <c r="K196" s="149">
        <f>SUM(K185:K194)*$I196+K195</f>
        <v>0</v>
      </c>
      <c r="L196" s="149">
        <f>SUM(L185:L194)*$I196+L195</f>
        <v>15071.291897435896</v>
      </c>
    </row>
    <row r="197" spans="1:14" ht="18.75" customHeight="1">
      <c r="A197" s="28"/>
      <c r="B197" s="97" t="s">
        <v>294</v>
      </c>
      <c r="C197" s="90"/>
      <c r="D197" s="89"/>
      <c r="E197" s="89"/>
      <c r="F197" s="98"/>
      <c r="G197" s="7"/>
      <c r="H197" s="89"/>
      <c r="I197" s="206"/>
      <c r="J197" s="206"/>
      <c r="K197" s="206"/>
      <c r="L197" s="83"/>
      <c r="M197" s="27"/>
    </row>
    <row r="198" spans="1:14" ht="18.75" customHeight="1">
      <c r="A198" s="28"/>
      <c r="B198" s="89" t="s">
        <v>382</v>
      </c>
      <c r="C198" s="90"/>
      <c r="D198" s="89"/>
      <c r="E198" s="89"/>
      <c r="F198" s="98"/>
      <c r="G198" s="206"/>
      <c r="H198" s="206"/>
      <c r="I198" s="206"/>
      <c r="J198" s="7"/>
      <c r="K198" s="7"/>
      <c r="L198" s="83"/>
    </row>
    <row r="199" spans="1:14" ht="51.75" customHeight="1">
      <c r="A199" s="28"/>
      <c r="B199" s="991" t="s">
        <v>403</v>
      </c>
      <c r="C199" s="992"/>
      <c r="D199" s="992"/>
      <c r="E199" s="992"/>
      <c r="F199" s="1041"/>
      <c r="G199" s="206">
        <v>1.3</v>
      </c>
      <c r="H199" s="206"/>
      <c r="I199" s="206">
        <v>1.3</v>
      </c>
      <c r="J199" s="7">
        <f>G199*J196</f>
        <v>173.93840000000003</v>
      </c>
      <c r="K199" s="7">
        <f>H199*K196</f>
        <v>0</v>
      </c>
      <c r="L199" s="83">
        <f>I199*L196</f>
        <v>19592.679466666665</v>
      </c>
    </row>
    <row r="200" spans="1:14" ht="16" thickBot="1">
      <c r="A200" s="117"/>
      <c r="B200" s="84"/>
      <c r="C200" s="85"/>
      <c r="D200" s="84"/>
      <c r="E200" s="84"/>
      <c r="F200" s="101"/>
      <c r="G200" s="102"/>
      <c r="H200" s="102"/>
      <c r="I200" s="102"/>
      <c r="J200" s="33"/>
      <c r="K200" s="33"/>
      <c r="L200" s="86"/>
    </row>
    <row r="201" spans="1:14" s="77" customFormat="1" ht="15.75" customHeight="1">
      <c r="A201" s="981" t="s">
        <v>23</v>
      </c>
      <c r="B201" s="983" t="s">
        <v>2</v>
      </c>
      <c r="C201" s="983" t="s">
        <v>38</v>
      </c>
      <c r="D201" s="983" t="s">
        <v>110</v>
      </c>
      <c r="E201" s="983" t="s">
        <v>30</v>
      </c>
      <c r="F201" s="985" t="s">
        <v>27</v>
      </c>
      <c r="G201" s="1061" t="s">
        <v>318</v>
      </c>
      <c r="H201" s="1062"/>
      <c r="I201" s="1062"/>
      <c r="J201" s="1063"/>
      <c r="K201" s="1058" t="s">
        <v>35</v>
      </c>
      <c r="L201" s="1059"/>
      <c r="M201" s="1059"/>
      <c r="N201" s="1060"/>
    </row>
    <row r="202" spans="1:14" s="77" customFormat="1" ht="39.75" customHeight="1">
      <c r="A202" s="1015"/>
      <c r="B202" s="1004"/>
      <c r="C202" s="1004"/>
      <c r="D202" s="1004"/>
      <c r="E202" s="1004"/>
      <c r="F202" s="990"/>
      <c r="G202" s="1054" t="s">
        <v>695</v>
      </c>
      <c r="H202" s="1055"/>
      <c r="I202" s="1054"/>
      <c r="J202" s="1055"/>
      <c r="K202" s="1054" t="s">
        <v>696</v>
      </c>
      <c r="L202" s="1055"/>
      <c r="M202" s="1014"/>
      <c r="N202" s="1064"/>
    </row>
    <row r="203" spans="1:14" s="9" customFormat="1" ht="35.5" customHeight="1">
      <c r="A203" s="115" t="str">
        <f>L_CViec!A373</f>
        <v>VII</v>
      </c>
      <c r="B203" s="993" t="str">
        <f>L_CViec!B373</f>
        <v>Đăng ký biến động đất đai đối với hộ gia đình, cá nhân, cộng đồng dân cư, người gốc Việt Nam định cư ở nước ngoài</v>
      </c>
      <c r="C203" s="994"/>
      <c r="D203" s="994"/>
      <c r="E203" s="994"/>
      <c r="F203" s="994"/>
      <c r="G203" s="994"/>
      <c r="H203" s="994"/>
      <c r="I203" s="994"/>
      <c r="J203" s="995"/>
      <c r="K203" s="136" t="s">
        <v>393</v>
      </c>
      <c r="L203" s="137"/>
      <c r="M203" s="137"/>
      <c r="N203" s="136" t="s">
        <v>393</v>
      </c>
    </row>
    <row r="204" spans="1:14" ht="20.25" customHeight="1">
      <c r="A204" s="28">
        <v>1</v>
      </c>
      <c r="B204" s="29" t="s">
        <v>324</v>
      </c>
      <c r="C204" s="6" t="s">
        <v>323</v>
      </c>
      <c r="D204" s="6">
        <v>96</v>
      </c>
      <c r="E204" s="7">
        <f>'Gia_Dcu-Tbi-Vlieu'!$E$6</f>
        <v>600000</v>
      </c>
      <c r="F204" s="35">
        <f t="shared" ref="F204:F212" si="44">E204/D204/26</f>
        <v>240.38461538461539</v>
      </c>
      <c r="G204" s="201">
        <v>3.12</v>
      </c>
      <c r="H204" s="201"/>
      <c r="I204" s="201"/>
      <c r="J204" s="201"/>
      <c r="K204" s="79">
        <f t="shared" ref="K204:K213" si="45">$F204*G204</f>
        <v>750</v>
      </c>
      <c r="L204" s="79">
        <f t="shared" ref="L204:L213" si="46">$F204*H204</f>
        <v>0</v>
      </c>
      <c r="M204" s="107">
        <f t="shared" ref="M204:M213" si="47">$F204*I204</f>
        <v>0</v>
      </c>
      <c r="N204" s="13">
        <f t="shared" ref="N204:N213" si="48">$F204*J204</f>
        <v>0</v>
      </c>
    </row>
    <row r="205" spans="1:14" ht="20.25" customHeight="1">
      <c r="A205" s="28">
        <v>2</v>
      </c>
      <c r="B205" s="29" t="s">
        <v>47</v>
      </c>
      <c r="C205" s="6" t="s">
        <v>323</v>
      </c>
      <c r="D205" s="6">
        <v>96</v>
      </c>
      <c r="E205" s="7">
        <f>'Gia_Dcu-Tbi-Vlieu'!$E$7</f>
        <v>1500000</v>
      </c>
      <c r="F205" s="35">
        <f t="shared" si="44"/>
        <v>600.96153846153845</v>
      </c>
      <c r="G205" s="201">
        <v>3.12</v>
      </c>
      <c r="H205" s="201"/>
      <c r="I205" s="201"/>
      <c r="J205" s="201"/>
      <c r="K205" s="79">
        <f t="shared" si="45"/>
        <v>1875</v>
      </c>
      <c r="L205" s="79">
        <f t="shared" si="46"/>
        <v>0</v>
      </c>
      <c r="M205" s="107">
        <f t="shared" si="47"/>
        <v>0</v>
      </c>
      <c r="N205" s="13">
        <f t="shared" si="48"/>
        <v>0</v>
      </c>
    </row>
    <row r="206" spans="1:14" ht="20.25" customHeight="1">
      <c r="A206" s="28">
        <v>3</v>
      </c>
      <c r="B206" s="29" t="s">
        <v>325</v>
      </c>
      <c r="C206" s="6" t="s">
        <v>323</v>
      </c>
      <c r="D206" s="6">
        <v>96</v>
      </c>
      <c r="E206" s="7">
        <f>'Gia_Dcu-Tbi-Vlieu'!$E$8</f>
        <v>2250000</v>
      </c>
      <c r="F206" s="35">
        <f t="shared" si="44"/>
        <v>901.44230769230774</v>
      </c>
      <c r="G206" s="201">
        <v>2.4</v>
      </c>
      <c r="H206" s="201"/>
      <c r="I206" s="201"/>
      <c r="J206" s="201"/>
      <c r="K206" s="79">
        <f t="shared" si="45"/>
        <v>2163.4615384615386</v>
      </c>
      <c r="L206" s="79">
        <f t="shared" si="46"/>
        <v>0</v>
      </c>
      <c r="M206" s="107">
        <f t="shared" si="47"/>
        <v>0</v>
      </c>
      <c r="N206" s="13">
        <f t="shared" si="48"/>
        <v>0</v>
      </c>
    </row>
    <row r="207" spans="1:14" ht="20.25" customHeight="1">
      <c r="A207" s="28">
        <v>4</v>
      </c>
      <c r="B207" s="29" t="s">
        <v>328</v>
      </c>
      <c r="C207" s="6" t="s">
        <v>323</v>
      </c>
      <c r="D207" s="6">
        <v>12</v>
      </c>
      <c r="E207" s="7">
        <f>'Gia_Dcu-Tbi-Vlieu'!$E$11</f>
        <v>100000</v>
      </c>
      <c r="F207" s="35">
        <f t="shared" si="44"/>
        <v>320.51282051282055</v>
      </c>
      <c r="G207" s="201">
        <v>0.33800000000000002</v>
      </c>
      <c r="H207" s="201"/>
      <c r="I207" s="201"/>
      <c r="J207" s="201"/>
      <c r="K207" s="79">
        <f t="shared" si="45"/>
        <v>108.33333333333336</v>
      </c>
      <c r="L207" s="79">
        <f t="shared" si="46"/>
        <v>0</v>
      </c>
      <c r="M207" s="107">
        <f t="shared" si="47"/>
        <v>0</v>
      </c>
      <c r="N207" s="13">
        <f t="shared" si="48"/>
        <v>0</v>
      </c>
    </row>
    <row r="208" spans="1:14" ht="20.25" customHeight="1">
      <c r="A208" s="28">
        <v>5</v>
      </c>
      <c r="B208" s="29" t="s">
        <v>329</v>
      </c>
      <c r="C208" s="6" t="s">
        <v>323</v>
      </c>
      <c r="D208" s="6">
        <v>12</v>
      </c>
      <c r="E208" s="7">
        <f>'Gia_Dcu-Tbi-Vlieu'!$E$12</f>
        <v>37000</v>
      </c>
      <c r="F208" s="35">
        <f t="shared" si="44"/>
        <v>118.58974358974359</v>
      </c>
      <c r="G208" s="201">
        <v>0.83299999999999996</v>
      </c>
      <c r="H208" s="201"/>
      <c r="I208" s="201"/>
      <c r="J208" s="201"/>
      <c r="K208" s="79">
        <f t="shared" si="45"/>
        <v>98.785256410256409</v>
      </c>
      <c r="L208" s="79">
        <f t="shared" si="46"/>
        <v>0</v>
      </c>
      <c r="M208" s="107">
        <f t="shared" si="47"/>
        <v>0</v>
      </c>
      <c r="N208" s="13">
        <f t="shared" si="48"/>
        <v>0</v>
      </c>
    </row>
    <row r="209" spans="1:14" ht="20.25" customHeight="1">
      <c r="A209" s="28">
        <v>6</v>
      </c>
      <c r="B209" s="29" t="s">
        <v>330</v>
      </c>
      <c r="C209" s="6" t="s">
        <v>323</v>
      </c>
      <c r="D209" s="6">
        <v>12</v>
      </c>
      <c r="E209" s="7">
        <f>'Gia_Dcu-Tbi-Vlieu'!$E$13</f>
        <v>185000</v>
      </c>
      <c r="F209" s="35">
        <f t="shared" si="44"/>
        <v>592.9487179487179</v>
      </c>
      <c r="G209" s="201">
        <v>0.39600000000000002</v>
      </c>
      <c r="H209" s="201"/>
      <c r="I209" s="201"/>
      <c r="J209" s="201"/>
      <c r="K209" s="79">
        <f t="shared" si="45"/>
        <v>234.80769230769229</v>
      </c>
      <c r="L209" s="79">
        <f t="shared" si="46"/>
        <v>0</v>
      </c>
      <c r="M209" s="107">
        <f t="shared" si="47"/>
        <v>0</v>
      </c>
      <c r="N209" s="13">
        <f t="shared" si="48"/>
        <v>0</v>
      </c>
    </row>
    <row r="210" spans="1:14" ht="20.25" customHeight="1">
      <c r="A210" s="28">
        <v>7</v>
      </c>
      <c r="B210" s="29" t="s">
        <v>334</v>
      </c>
      <c r="C210" s="6" t="s">
        <v>323</v>
      </c>
      <c r="D210" s="6">
        <v>12</v>
      </c>
      <c r="E210" s="7">
        <f>'Gia_Dcu-Tbi-Vlieu'!$E$18</f>
        <v>11500</v>
      </c>
      <c r="F210" s="35">
        <f t="shared" si="44"/>
        <v>36.858974358974358</v>
      </c>
      <c r="G210" s="201">
        <v>0.216</v>
      </c>
      <c r="H210" s="201"/>
      <c r="I210" s="201"/>
      <c r="J210" s="201"/>
      <c r="K210" s="79">
        <f t="shared" si="45"/>
        <v>7.9615384615384608</v>
      </c>
      <c r="L210" s="79">
        <f t="shared" si="46"/>
        <v>0</v>
      </c>
      <c r="M210" s="107">
        <f t="shared" si="47"/>
        <v>0</v>
      </c>
      <c r="N210" s="13">
        <f t="shared" si="48"/>
        <v>0</v>
      </c>
    </row>
    <row r="211" spans="1:14" ht="20.25" customHeight="1">
      <c r="A211" s="28">
        <v>8</v>
      </c>
      <c r="B211" s="29" t="s">
        <v>335</v>
      </c>
      <c r="C211" s="6" t="s">
        <v>323</v>
      </c>
      <c r="D211" s="6">
        <v>36</v>
      </c>
      <c r="E211" s="7">
        <f>'Gia_Dcu-Tbi-Vlieu'!$E$19</f>
        <v>2640000</v>
      </c>
      <c r="F211" s="35">
        <f t="shared" si="44"/>
        <v>2820.5128205128203</v>
      </c>
      <c r="G211" s="201">
        <v>1.601</v>
      </c>
      <c r="H211" s="201"/>
      <c r="I211" s="201"/>
      <c r="J211" s="201"/>
      <c r="K211" s="79">
        <f t="shared" si="45"/>
        <v>4515.6410256410254</v>
      </c>
      <c r="L211" s="79">
        <f t="shared" si="46"/>
        <v>0</v>
      </c>
      <c r="M211" s="107">
        <f t="shared" si="47"/>
        <v>0</v>
      </c>
      <c r="N211" s="13">
        <f t="shared" si="48"/>
        <v>0</v>
      </c>
    </row>
    <row r="212" spans="1:14" ht="20.25" customHeight="1">
      <c r="A212" s="28">
        <v>9</v>
      </c>
      <c r="B212" s="162" t="s">
        <v>336</v>
      </c>
      <c r="C212" s="163" t="s">
        <v>337</v>
      </c>
      <c r="D212" s="163">
        <v>30</v>
      </c>
      <c r="E212" s="133">
        <f>'Gia_Dcu-Tbi-Vlieu'!$E$20</f>
        <v>165000</v>
      </c>
      <c r="F212" s="164">
        <f t="shared" si="44"/>
        <v>211.53846153846155</v>
      </c>
      <c r="G212" s="209">
        <v>3.12</v>
      </c>
      <c r="H212" s="209"/>
      <c r="I212" s="209"/>
      <c r="J212" s="209"/>
      <c r="K212" s="119">
        <f t="shared" si="45"/>
        <v>660</v>
      </c>
      <c r="L212" s="119">
        <f t="shared" si="46"/>
        <v>0</v>
      </c>
      <c r="M212" s="120">
        <f t="shared" si="47"/>
        <v>0</v>
      </c>
      <c r="N212" s="121">
        <f t="shared" si="48"/>
        <v>0</v>
      </c>
    </row>
    <row r="213" spans="1:14" ht="20.25" customHeight="1">
      <c r="A213" s="28">
        <v>10</v>
      </c>
      <c r="B213" s="394" t="s">
        <v>17</v>
      </c>
      <c r="C213" s="244" t="s">
        <v>338</v>
      </c>
      <c r="D213" s="530">
        <v>1</v>
      </c>
      <c r="E213" s="212">
        <f>'Gia_Dcu-Tbi-Vlieu'!$E$21</f>
        <v>2226</v>
      </c>
      <c r="F213" s="246">
        <f>D213*E213</f>
        <v>2226</v>
      </c>
      <c r="G213" s="541">
        <v>2.4</v>
      </c>
      <c r="H213" s="541"/>
      <c r="I213" s="541"/>
      <c r="J213" s="541"/>
      <c r="K213" s="247">
        <f t="shared" si="45"/>
        <v>5342.4</v>
      </c>
      <c r="L213" s="247">
        <f t="shared" si="46"/>
        <v>0</v>
      </c>
      <c r="M213" s="247">
        <f t="shared" si="47"/>
        <v>0</v>
      </c>
      <c r="N213" s="546">
        <f t="shared" si="48"/>
        <v>0</v>
      </c>
    </row>
    <row r="214" spans="1:14" s="11" customFormat="1" ht="32.25" customHeight="1">
      <c r="A214" s="166"/>
      <c r="B214" s="144" t="s">
        <v>456</v>
      </c>
      <c r="C214" s="167"/>
      <c r="D214" s="168"/>
      <c r="E214" s="158"/>
      <c r="F214" s="169"/>
      <c r="G214" s="210"/>
      <c r="H214" s="210"/>
      <c r="I214" s="204">
        <v>1</v>
      </c>
      <c r="J214" s="211"/>
      <c r="K214" s="170">
        <f>SUM(K204:K212)*$I214+K213</f>
        <v>15756.390384615384</v>
      </c>
      <c r="L214" s="170">
        <f>SUM(L204:L212)*$I214+L213</f>
        <v>0</v>
      </c>
      <c r="M214" s="170">
        <f>SUM(M204:M212)*$I214+M213</f>
        <v>0</v>
      </c>
      <c r="N214" s="170">
        <f>SUM(N204:N212)*$I214+N213</f>
        <v>0</v>
      </c>
    </row>
    <row r="215" spans="1:14" ht="20.25" customHeight="1">
      <c r="A215" s="171"/>
      <c r="B215" s="172" t="s">
        <v>294</v>
      </c>
      <c r="C215" s="173"/>
      <c r="D215" s="174"/>
      <c r="E215" s="174"/>
      <c r="F215" s="175"/>
      <c r="G215" s="212"/>
      <c r="H215" s="174"/>
      <c r="I215" s="174"/>
      <c r="J215" s="213"/>
      <c r="K215" s="213"/>
      <c r="L215" s="213"/>
      <c r="M215" s="213"/>
      <c r="N215" s="176"/>
    </row>
    <row r="216" spans="1:14" ht="20.25" customHeight="1">
      <c r="A216" s="92"/>
      <c r="B216" s="988" t="s">
        <v>382</v>
      </c>
      <c r="C216" s="989"/>
      <c r="D216" s="989"/>
      <c r="E216" s="989"/>
      <c r="F216" s="989"/>
      <c r="G216" s="205"/>
      <c r="H216" s="205"/>
      <c r="I216" s="205"/>
      <c r="J216" s="205"/>
      <c r="K216" s="157"/>
      <c r="L216" s="157"/>
      <c r="M216" s="165"/>
      <c r="N216" s="142"/>
    </row>
    <row r="217" spans="1:14" ht="47.25" customHeight="1">
      <c r="A217" s="28"/>
      <c r="B217" s="991" t="s">
        <v>405</v>
      </c>
      <c r="C217" s="992"/>
      <c r="D217" s="992"/>
      <c r="E217" s="992"/>
      <c r="F217" s="992"/>
      <c r="G217" s="206">
        <v>1.3</v>
      </c>
      <c r="H217" s="206"/>
      <c r="I217" s="206"/>
      <c r="J217" s="206"/>
      <c r="K217" s="7">
        <f>G217*K$214</f>
        <v>20483.307499999999</v>
      </c>
      <c r="L217" s="7">
        <f t="shared" ref="K217:N218" si="49">H217*L$214</f>
        <v>0</v>
      </c>
      <c r="M217" s="108">
        <f t="shared" si="49"/>
        <v>0</v>
      </c>
      <c r="N217" s="83">
        <f t="shared" si="49"/>
        <v>0</v>
      </c>
    </row>
    <row r="218" spans="1:14" ht="54.75" customHeight="1">
      <c r="A218" s="28"/>
      <c r="B218" s="991" t="s">
        <v>406</v>
      </c>
      <c r="C218" s="992"/>
      <c r="D218" s="992"/>
      <c r="E218" s="992"/>
      <c r="F218" s="992"/>
      <c r="G218" s="206">
        <v>0.6</v>
      </c>
      <c r="H218" s="206"/>
      <c r="I218" s="206"/>
      <c r="J218" s="206"/>
      <c r="K218" s="7">
        <f t="shared" si="49"/>
        <v>9453.834230769231</v>
      </c>
      <c r="L218" s="7">
        <f t="shared" si="49"/>
        <v>0</v>
      </c>
      <c r="M218" s="108">
        <f t="shared" si="49"/>
        <v>0</v>
      </c>
      <c r="N218" s="83">
        <f t="shared" si="49"/>
        <v>0</v>
      </c>
    </row>
    <row r="219" spans="1:14">
      <c r="A219" s="117"/>
      <c r="B219" s="84"/>
      <c r="C219" s="85"/>
      <c r="D219" s="84"/>
      <c r="E219" s="84"/>
      <c r="F219" s="101"/>
      <c r="G219" s="214"/>
      <c r="H219" s="214"/>
      <c r="I219" s="214"/>
      <c r="J219" s="214"/>
      <c r="K219" s="33"/>
      <c r="L219" s="33"/>
      <c r="M219" s="109"/>
      <c r="N219" s="86"/>
    </row>
    <row r="220" spans="1:14" ht="16" thickBot="1">
      <c r="A220" s="544"/>
      <c r="B220" s="272"/>
      <c r="F220" s="545"/>
      <c r="G220" s="88"/>
      <c r="H220" s="88"/>
      <c r="I220" s="547"/>
      <c r="J220" s="523"/>
      <c r="K220" s="522"/>
      <c r="L220" s="548"/>
      <c r="M220" s="27"/>
      <c r="N220" s="27"/>
    </row>
    <row r="221" spans="1:14">
      <c r="A221" s="981" t="s">
        <v>23</v>
      </c>
      <c r="B221" s="983" t="s">
        <v>2</v>
      </c>
      <c r="C221" s="983" t="s">
        <v>38</v>
      </c>
      <c r="D221" s="983" t="s">
        <v>110</v>
      </c>
      <c r="E221" s="983" t="s">
        <v>372</v>
      </c>
      <c r="F221" s="985" t="s">
        <v>27</v>
      </c>
      <c r="G221" s="1040" t="s">
        <v>318</v>
      </c>
      <c r="H221" s="1040"/>
      <c r="I221" s="1040"/>
      <c r="J221" s="996" t="s">
        <v>35</v>
      </c>
      <c r="K221" s="996"/>
      <c r="L221" s="997"/>
      <c r="M221" s="27"/>
      <c r="N221" s="27"/>
    </row>
    <row r="222" spans="1:14" ht="45">
      <c r="A222" s="982"/>
      <c r="B222" s="984"/>
      <c r="C222" s="984"/>
      <c r="D222" s="984"/>
      <c r="E222" s="984"/>
      <c r="F222" s="986"/>
      <c r="G222" s="129" t="s">
        <v>692</v>
      </c>
      <c r="H222" s="129"/>
      <c r="I222" s="129" t="s">
        <v>321</v>
      </c>
      <c r="J222" s="129" t="s">
        <v>692</v>
      </c>
      <c r="K222" s="130"/>
      <c r="L222" s="131" t="s">
        <v>321</v>
      </c>
      <c r="M222" s="27"/>
      <c r="N222" s="27"/>
    </row>
    <row r="223" spans="1:14" s="9" customFormat="1" ht="35.5" customHeight="1">
      <c r="A223" s="134" t="str">
        <f>L_CViec!A427</f>
        <v>VIII</v>
      </c>
      <c r="B223" s="1037" t="str">
        <f>L_CViec!B427</f>
        <v xml:space="preserve">Đăng ký biến động đất đai đối với tổ chức, tổ chức tôn giáo, tổ chức tôn giáo trực thuộc, tổ chức nước ngoài có chức năng ngoại giao, tổ chức kinh tế có vốn đầu tư nước ngoài, tổ chức nước ngoài, cá nhân nước ngoài </v>
      </c>
      <c r="C223" s="1038">
        <f>L_CViec!E425</f>
        <v>0</v>
      </c>
      <c r="D223" s="1038">
        <f>L_CViec!F425</f>
        <v>0</v>
      </c>
      <c r="E223" s="1038"/>
      <c r="F223" s="1038"/>
      <c r="G223" s="1038"/>
      <c r="H223" s="1038"/>
      <c r="I223" s="1039"/>
      <c r="J223" s="135"/>
      <c r="K223" s="135"/>
      <c r="L223" s="136" t="s">
        <v>597</v>
      </c>
    </row>
    <row r="224" spans="1:14" ht="18.75" customHeight="1">
      <c r="A224" s="28">
        <v>1</v>
      </c>
      <c r="B224" s="29" t="s">
        <v>324</v>
      </c>
      <c r="C224" s="6" t="s">
        <v>323</v>
      </c>
      <c r="D224" s="6">
        <v>96</v>
      </c>
      <c r="E224" s="7">
        <f>'Gia_Dcu-Tbi-Vlieu'!$E$6</f>
        <v>600000</v>
      </c>
      <c r="F224" s="35">
        <f t="shared" ref="F224:F230" si="50">E224/D224/26</f>
        <v>240.38461538461539</v>
      </c>
      <c r="G224" s="201">
        <v>1.7999999999999999E-2</v>
      </c>
      <c r="H224" s="201"/>
      <c r="I224" s="201">
        <v>6.84</v>
      </c>
      <c r="J224" s="79">
        <f t="shared" ref="J224:L227" si="51">$F224*G224</f>
        <v>4.3269230769230766</v>
      </c>
      <c r="K224" s="79">
        <f t="shared" si="51"/>
        <v>0</v>
      </c>
      <c r="L224" s="13">
        <f t="shared" si="51"/>
        <v>1644.2307692307693</v>
      </c>
    </row>
    <row r="225" spans="1:13" ht="18.75" customHeight="1">
      <c r="A225" s="28">
        <v>2</v>
      </c>
      <c r="B225" s="29" t="s">
        <v>47</v>
      </c>
      <c r="C225" s="6" t="s">
        <v>323</v>
      </c>
      <c r="D225" s="6">
        <v>96</v>
      </c>
      <c r="E225" s="7">
        <f>'Gia_Dcu-Tbi-Vlieu'!$E$7</f>
        <v>1500000</v>
      </c>
      <c r="F225" s="35">
        <f t="shared" si="50"/>
        <v>600.96153846153845</v>
      </c>
      <c r="G225" s="201">
        <v>1.7999999999999999E-2</v>
      </c>
      <c r="H225" s="201"/>
      <c r="I225" s="201">
        <v>6.84</v>
      </c>
      <c r="J225" s="79">
        <f t="shared" si="51"/>
        <v>10.817307692307692</v>
      </c>
      <c r="K225" s="79">
        <f t="shared" si="51"/>
        <v>0</v>
      </c>
      <c r="L225" s="13">
        <f t="shared" si="51"/>
        <v>4110.5769230769229</v>
      </c>
    </row>
    <row r="226" spans="1:13" ht="18.75" customHeight="1">
      <c r="A226" s="28">
        <v>3</v>
      </c>
      <c r="B226" s="29" t="s">
        <v>325</v>
      </c>
      <c r="C226" s="6" t="s">
        <v>323</v>
      </c>
      <c r="D226" s="6">
        <v>96</v>
      </c>
      <c r="E226" s="7">
        <f>'Gia_Dcu-Tbi-Vlieu'!$E$8</f>
        <v>2250000</v>
      </c>
      <c r="F226" s="35">
        <f t="shared" si="50"/>
        <v>901.44230769230774</v>
      </c>
      <c r="G226" s="201">
        <v>1.7999999999999999E-2</v>
      </c>
      <c r="H226" s="201"/>
      <c r="I226" s="201">
        <v>4.4400000000000004</v>
      </c>
      <c r="J226" s="79">
        <f t="shared" si="51"/>
        <v>16.225961538461537</v>
      </c>
      <c r="K226" s="79">
        <f t="shared" si="51"/>
        <v>0</v>
      </c>
      <c r="L226" s="13">
        <f t="shared" si="51"/>
        <v>4002.4038461538466</v>
      </c>
    </row>
    <row r="227" spans="1:13" ht="18.75" customHeight="1">
      <c r="A227" s="28">
        <v>4</v>
      </c>
      <c r="B227" s="29" t="s">
        <v>329</v>
      </c>
      <c r="C227" s="6" t="s">
        <v>323</v>
      </c>
      <c r="D227" s="6">
        <v>12</v>
      </c>
      <c r="E227" s="7">
        <f>'Gia_Dcu-Tbi-Vlieu'!$E$12</f>
        <v>37000</v>
      </c>
      <c r="F227" s="35">
        <f t="shared" si="50"/>
        <v>118.58974358974359</v>
      </c>
      <c r="G227" s="201">
        <v>8.0000000000000002E-3</v>
      </c>
      <c r="H227" s="201"/>
      <c r="I227" s="201">
        <v>2.3E-2</v>
      </c>
      <c r="J227" s="79">
        <f t="shared" si="51"/>
        <v>0.94871794871794879</v>
      </c>
      <c r="K227" s="79">
        <f t="shared" si="51"/>
        <v>0</v>
      </c>
      <c r="L227" s="13">
        <f t="shared" si="51"/>
        <v>2.7275641025641026</v>
      </c>
    </row>
    <row r="228" spans="1:13" ht="18.75" customHeight="1">
      <c r="A228" s="28">
        <v>5</v>
      </c>
      <c r="B228" s="29" t="s">
        <v>334</v>
      </c>
      <c r="C228" s="6" t="s">
        <v>323</v>
      </c>
      <c r="D228" s="6">
        <v>12</v>
      </c>
      <c r="E228" s="7">
        <f>'Gia_Dcu-Tbi-Vlieu'!$E$18</f>
        <v>11500</v>
      </c>
      <c r="F228" s="35">
        <f t="shared" si="50"/>
        <v>36.858974358974358</v>
      </c>
      <c r="G228" s="201"/>
      <c r="H228" s="201"/>
      <c r="I228" s="201">
        <v>1.4999999999999999E-2</v>
      </c>
      <c r="J228" s="79">
        <f t="shared" ref="J228:L231" si="52">$F228*G228</f>
        <v>0</v>
      </c>
      <c r="K228" s="79">
        <f t="shared" si="52"/>
        <v>0</v>
      </c>
      <c r="L228" s="13">
        <f t="shared" si="52"/>
        <v>0.55288461538461531</v>
      </c>
    </row>
    <row r="229" spans="1:13" ht="18.75" customHeight="1">
      <c r="A229" s="28">
        <v>6</v>
      </c>
      <c r="B229" s="29" t="s">
        <v>335</v>
      </c>
      <c r="C229" s="6" t="s">
        <v>323</v>
      </c>
      <c r="D229" s="6">
        <v>36</v>
      </c>
      <c r="E229" s="7">
        <f>'Gia_Dcu-Tbi-Vlieu'!$E$19</f>
        <v>2640000</v>
      </c>
      <c r="F229" s="35">
        <f t="shared" si="50"/>
        <v>2820.5128205128203</v>
      </c>
      <c r="G229" s="201">
        <v>1.2E-2</v>
      </c>
      <c r="H229" s="201"/>
      <c r="I229" s="201">
        <v>0.36</v>
      </c>
      <c r="J229" s="79">
        <f t="shared" si="52"/>
        <v>33.846153846153847</v>
      </c>
      <c r="K229" s="79">
        <f t="shared" si="52"/>
        <v>0</v>
      </c>
      <c r="L229" s="13">
        <f t="shared" si="52"/>
        <v>1015.3846153846152</v>
      </c>
    </row>
    <row r="230" spans="1:13" ht="18.75" customHeight="1">
      <c r="A230" s="28">
        <v>7</v>
      </c>
      <c r="B230" s="29" t="s">
        <v>336</v>
      </c>
      <c r="C230" s="6" t="s">
        <v>337</v>
      </c>
      <c r="D230" s="6">
        <v>30</v>
      </c>
      <c r="E230" s="7">
        <f>'Gia_Dcu-Tbi-Vlieu'!$E$20</f>
        <v>165000</v>
      </c>
      <c r="F230" s="35">
        <f t="shared" si="50"/>
        <v>211.53846153846155</v>
      </c>
      <c r="G230" s="201">
        <v>1.7999999999999999E-2</v>
      </c>
      <c r="H230" s="201"/>
      <c r="I230" s="201">
        <v>4.4400000000000004</v>
      </c>
      <c r="J230" s="79">
        <f t="shared" si="52"/>
        <v>3.8076923076923075</v>
      </c>
      <c r="K230" s="79">
        <f t="shared" si="52"/>
        <v>0</v>
      </c>
      <c r="L230" s="13">
        <f t="shared" si="52"/>
        <v>939.2307692307694</v>
      </c>
    </row>
    <row r="231" spans="1:13" ht="18.75" customHeight="1">
      <c r="A231" s="28">
        <v>8</v>
      </c>
      <c r="B231" s="529" t="s">
        <v>17</v>
      </c>
      <c r="C231" s="32" t="s">
        <v>338</v>
      </c>
      <c r="D231" s="530">
        <v>1</v>
      </c>
      <c r="E231" s="33">
        <f>'Gia_Dcu-Tbi-Vlieu'!$E$21</f>
        <v>2226</v>
      </c>
      <c r="F231" s="531">
        <f>D231*E231</f>
        <v>2226</v>
      </c>
      <c r="G231" s="532">
        <v>1.4999999999999999E-2</v>
      </c>
      <c r="H231" s="532"/>
      <c r="I231" s="532">
        <v>1.7090000000000001</v>
      </c>
      <c r="J231" s="533">
        <f t="shared" si="52"/>
        <v>33.39</v>
      </c>
      <c r="K231" s="533">
        <f t="shared" si="52"/>
        <v>0</v>
      </c>
      <c r="L231" s="31">
        <f t="shared" si="52"/>
        <v>3804.2340000000004</v>
      </c>
    </row>
    <row r="232" spans="1:13" s="11" customFormat="1" ht="18.75" customHeight="1">
      <c r="A232" s="143"/>
      <c r="B232" s="144" t="s">
        <v>456</v>
      </c>
      <c r="C232" s="145"/>
      <c r="D232" s="146"/>
      <c r="E232" s="147"/>
      <c r="F232" s="148"/>
      <c r="G232" s="203"/>
      <c r="H232" s="203"/>
      <c r="I232" s="204">
        <v>1</v>
      </c>
      <c r="J232" s="149">
        <f>SUM(J224:J230)*$I232+J231</f>
        <v>103.36275641025641</v>
      </c>
      <c r="K232" s="149">
        <f>SUM(K224:K230)*$I232+K231</f>
        <v>0</v>
      </c>
      <c r="L232" s="149">
        <f>SUM(L224:L230)*$I232+L231</f>
        <v>15519.341371794873</v>
      </c>
    </row>
    <row r="233" spans="1:13" ht="18.75" customHeight="1">
      <c r="A233" s="28"/>
      <c r="B233" s="97" t="s">
        <v>294</v>
      </c>
      <c r="C233" s="90"/>
      <c r="D233" s="89"/>
      <c r="E233" s="89"/>
      <c r="F233" s="98"/>
      <c r="G233" s="7"/>
      <c r="H233" s="89"/>
      <c r="I233" s="206"/>
      <c r="J233" s="206"/>
      <c r="K233" s="206"/>
      <c r="L233" s="83"/>
      <c r="M233" s="27"/>
    </row>
    <row r="234" spans="1:13" ht="18.75" customHeight="1">
      <c r="A234" s="28"/>
      <c r="B234" s="1008" t="s">
        <v>382</v>
      </c>
      <c r="C234" s="1009"/>
      <c r="D234" s="1009"/>
      <c r="E234" s="1009"/>
      <c r="F234" s="1010"/>
      <c r="G234" s="206"/>
      <c r="H234" s="206"/>
      <c r="I234" s="206"/>
      <c r="J234" s="7"/>
      <c r="K234" s="7"/>
      <c r="L234" s="83"/>
    </row>
    <row r="235" spans="1:13" ht="52.5" customHeight="1">
      <c r="A235" s="28"/>
      <c r="B235" s="1008" t="s">
        <v>598</v>
      </c>
      <c r="C235" s="1009"/>
      <c r="D235" s="1009"/>
      <c r="E235" s="1009"/>
      <c r="F235" s="1010"/>
      <c r="G235" s="206">
        <v>1.3</v>
      </c>
      <c r="H235" s="206"/>
      <c r="I235" s="206">
        <v>1.3</v>
      </c>
      <c r="J235" s="7">
        <f>G235*J232</f>
        <v>134.37158333333335</v>
      </c>
      <c r="K235" s="7">
        <f>H235*K232</f>
        <v>0</v>
      </c>
      <c r="L235" s="83">
        <f>I235*L232</f>
        <v>20175.143783333337</v>
      </c>
    </row>
    <row r="236" spans="1:13" ht="57" customHeight="1">
      <c r="A236" s="28"/>
      <c r="B236" s="1008" t="s">
        <v>599</v>
      </c>
      <c r="C236" s="1009"/>
      <c r="D236" s="1009"/>
      <c r="E236" s="1009"/>
      <c r="F236" s="1010"/>
      <c r="G236" s="206">
        <v>0.6</v>
      </c>
      <c r="H236" s="206"/>
      <c r="I236" s="206">
        <v>0.6</v>
      </c>
      <c r="J236" s="7">
        <f>G236*J232</f>
        <v>62.017653846153841</v>
      </c>
      <c r="K236" s="7">
        <f>H236*K232</f>
        <v>0</v>
      </c>
      <c r="L236" s="83">
        <f>I236*L232</f>
        <v>9311.6048230769229</v>
      </c>
    </row>
    <row r="237" spans="1:13">
      <c r="A237" s="117"/>
      <c r="B237" s="84"/>
      <c r="C237" s="85"/>
      <c r="D237" s="84"/>
      <c r="E237" s="84"/>
      <c r="F237" s="101"/>
      <c r="G237" s="102"/>
      <c r="H237" s="102"/>
      <c r="I237" s="102"/>
      <c r="J237" s="33"/>
      <c r="K237" s="33"/>
      <c r="L237" s="86"/>
    </row>
    <row r="238" spans="1:13" ht="16" thickBot="1">
      <c r="A238" s="544"/>
      <c r="B238" s="272"/>
      <c r="F238" s="545"/>
      <c r="I238" s="549"/>
      <c r="J238" s="522"/>
      <c r="K238" s="522"/>
      <c r="L238" s="524"/>
    </row>
    <row r="239" spans="1:13" ht="15.75" customHeight="1">
      <c r="A239" s="981" t="s">
        <v>23</v>
      </c>
      <c r="B239" s="983" t="s">
        <v>2</v>
      </c>
      <c r="C239" s="983" t="s">
        <v>38</v>
      </c>
      <c r="D239" s="983" t="s">
        <v>110</v>
      </c>
      <c r="E239" s="983" t="s">
        <v>372</v>
      </c>
      <c r="F239" s="985" t="s">
        <v>27</v>
      </c>
      <c r="G239" s="1042" t="s">
        <v>318</v>
      </c>
      <c r="H239" s="1043"/>
      <c r="I239" s="1044"/>
      <c r="J239" s="998" t="s">
        <v>35</v>
      </c>
      <c r="K239" s="999"/>
      <c r="L239" s="1000"/>
    </row>
    <row r="240" spans="1:13">
      <c r="A240" s="982"/>
      <c r="B240" s="984"/>
      <c r="C240" s="984"/>
      <c r="D240" s="984"/>
      <c r="E240" s="984"/>
      <c r="F240" s="986"/>
      <c r="G240" s="1045"/>
      <c r="H240" s="1046"/>
      <c r="I240" s="1047"/>
      <c r="J240" s="1001"/>
      <c r="K240" s="1002"/>
      <c r="L240" s="1003"/>
    </row>
    <row r="241" spans="1:13" s="9" customFormat="1" ht="35.5" customHeight="1">
      <c r="A241" s="134" t="str">
        <f>L_CViec!A478</f>
        <v>XI</v>
      </c>
      <c r="B241" s="1037" t="str">
        <f>L_CViec!B478</f>
        <v>TRÍCH LỤC HỒ SƠ ĐỊA CHÍNH</v>
      </c>
      <c r="C241" s="1038"/>
      <c r="D241" s="1038"/>
      <c r="E241" s="1038"/>
      <c r="F241" s="1038"/>
      <c r="G241" s="1038"/>
      <c r="H241" s="1038"/>
      <c r="I241" s="1039"/>
      <c r="J241" s="841" t="s">
        <v>400</v>
      </c>
      <c r="K241" s="135"/>
      <c r="L241" s="136"/>
    </row>
    <row r="242" spans="1:13" ht="19.5" customHeight="1">
      <c r="A242" s="28">
        <v>1</v>
      </c>
      <c r="B242" s="29" t="s">
        <v>324</v>
      </c>
      <c r="C242" s="6" t="s">
        <v>323</v>
      </c>
      <c r="D242" s="6">
        <v>96</v>
      </c>
      <c r="E242" s="12">
        <f>'Gia_Dcu-Tbi-Vlieu'!E6</f>
        <v>600000</v>
      </c>
      <c r="F242" s="35">
        <f t="shared" ref="F242:F250" si="53">E242/D242/26</f>
        <v>240.38461538461539</v>
      </c>
      <c r="G242" s="201">
        <v>0.32</v>
      </c>
      <c r="H242" s="201"/>
      <c r="I242" s="201"/>
      <c r="J242" s="555">
        <f t="shared" ref="J242:L244" si="54">$F242*G242</f>
        <v>76.92307692307692</v>
      </c>
      <c r="K242" s="79">
        <f t="shared" si="54"/>
        <v>0</v>
      </c>
      <c r="L242" s="13">
        <f t="shared" si="54"/>
        <v>0</v>
      </c>
    </row>
    <row r="243" spans="1:13" ht="19.5" customHeight="1">
      <c r="A243" s="28">
        <v>2</v>
      </c>
      <c r="B243" s="29" t="s">
        <v>47</v>
      </c>
      <c r="C243" s="6" t="s">
        <v>323</v>
      </c>
      <c r="D243" s="6">
        <v>96</v>
      </c>
      <c r="E243" s="12">
        <f>'Gia_Dcu-Tbi-Vlieu'!E7</f>
        <v>1500000</v>
      </c>
      <c r="F243" s="35">
        <f t="shared" si="53"/>
        <v>600.96153846153845</v>
      </c>
      <c r="G243" s="201">
        <v>0.32</v>
      </c>
      <c r="H243" s="201"/>
      <c r="I243" s="201"/>
      <c r="J243" s="555">
        <f t="shared" si="54"/>
        <v>192.30769230769232</v>
      </c>
      <c r="K243" s="79">
        <f t="shared" si="54"/>
        <v>0</v>
      </c>
      <c r="L243" s="13">
        <f t="shared" si="54"/>
        <v>0</v>
      </c>
    </row>
    <row r="244" spans="1:13" ht="19.5" customHeight="1">
      <c r="A244" s="28">
        <v>3</v>
      </c>
      <c r="B244" s="29" t="s">
        <v>325</v>
      </c>
      <c r="C244" s="6" t="s">
        <v>323</v>
      </c>
      <c r="D244" s="6">
        <v>96</v>
      </c>
      <c r="E244" s="12">
        <f>'Gia_Dcu-Tbi-Vlieu'!E8</f>
        <v>2250000</v>
      </c>
      <c r="F244" s="35">
        <f t="shared" si="53"/>
        <v>901.44230769230774</v>
      </c>
      <c r="G244" s="201">
        <v>0.08</v>
      </c>
      <c r="H244" s="201"/>
      <c r="I244" s="201"/>
      <c r="J244" s="555">
        <f t="shared" si="54"/>
        <v>72.115384615384627</v>
      </c>
      <c r="K244" s="79">
        <f t="shared" si="54"/>
        <v>0</v>
      </c>
      <c r="L244" s="13">
        <f t="shared" si="54"/>
        <v>0</v>
      </c>
    </row>
    <row r="245" spans="1:13" ht="19.5" customHeight="1">
      <c r="A245" s="28">
        <v>4</v>
      </c>
      <c r="B245" s="29" t="s">
        <v>329</v>
      </c>
      <c r="C245" s="6" t="s">
        <v>323</v>
      </c>
      <c r="D245" s="6">
        <v>12</v>
      </c>
      <c r="E245" s="12">
        <f>'Gia_Dcu-Tbi-Vlieu'!E12</f>
        <v>37000</v>
      </c>
      <c r="F245" s="35">
        <f t="shared" si="53"/>
        <v>118.58974358974359</v>
      </c>
      <c r="G245" s="201">
        <v>0.11</v>
      </c>
      <c r="H245" s="201"/>
      <c r="I245" s="201"/>
      <c r="J245" s="555">
        <f t="shared" ref="J245:L246" si="55">$F245*G245</f>
        <v>13.044871794871796</v>
      </c>
      <c r="K245" s="79">
        <f t="shared" si="55"/>
        <v>0</v>
      </c>
      <c r="L245" s="13">
        <f t="shared" si="55"/>
        <v>0</v>
      </c>
    </row>
    <row r="246" spans="1:13" ht="19.5" customHeight="1">
      <c r="A246" s="28">
        <v>5</v>
      </c>
      <c r="B246" s="29" t="s">
        <v>330</v>
      </c>
      <c r="C246" s="6" t="s">
        <v>323</v>
      </c>
      <c r="D246" s="6">
        <v>12</v>
      </c>
      <c r="E246" s="12">
        <f>'Gia_Dcu-Tbi-Vlieu'!E13</f>
        <v>185000</v>
      </c>
      <c r="F246" s="35">
        <f t="shared" si="53"/>
        <v>592.9487179487179</v>
      </c>
      <c r="G246" s="201">
        <v>0.04</v>
      </c>
      <c r="H246" s="201"/>
      <c r="I246" s="201"/>
      <c r="J246" s="555">
        <f t="shared" si="55"/>
        <v>23.717948717948715</v>
      </c>
      <c r="K246" s="79">
        <f t="shared" si="55"/>
        <v>0</v>
      </c>
      <c r="L246" s="13">
        <f t="shared" si="55"/>
        <v>0</v>
      </c>
    </row>
    <row r="247" spans="1:13" ht="19.5" customHeight="1">
      <c r="A247" s="28">
        <v>6</v>
      </c>
      <c r="B247" s="4" t="s">
        <v>408</v>
      </c>
      <c r="C247" s="6" t="s">
        <v>333</v>
      </c>
      <c r="D247" s="6">
        <v>48</v>
      </c>
      <c r="E247" s="12">
        <f>'Gia_Dcu-Tbi-Vlieu'!E16</f>
        <v>350000</v>
      </c>
      <c r="F247" s="35">
        <f>E247/D247/26</f>
        <v>280.44871794871796</v>
      </c>
      <c r="G247" s="201">
        <v>0.08</v>
      </c>
      <c r="H247" s="201"/>
      <c r="I247" s="201"/>
      <c r="J247" s="555">
        <f t="shared" ref="J247:L251" si="56">$F247*G247</f>
        <v>22.435897435897438</v>
      </c>
      <c r="K247" s="79">
        <f t="shared" si="56"/>
        <v>0</v>
      </c>
      <c r="L247" s="13">
        <f t="shared" si="56"/>
        <v>0</v>
      </c>
    </row>
    <row r="248" spans="1:13" ht="19.5" customHeight="1">
      <c r="A248" s="28">
        <v>7</v>
      </c>
      <c r="B248" s="4" t="s">
        <v>409</v>
      </c>
      <c r="C248" s="6" t="s">
        <v>323</v>
      </c>
      <c r="D248" s="6">
        <v>24</v>
      </c>
      <c r="E248" s="12">
        <f>'Gia_Dcu-Tbi-Vlieu'!E17</f>
        <v>100000</v>
      </c>
      <c r="F248" s="35">
        <f t="shared" si="53"/>
        <v>160.25641025641028</v>
      </c>
      <c r="G248" s="201">
        <v>0.08</v>
      </c>
      <c r="H248" s="201"/>
      <c r="I248" s="201"/>
      <c r="J248" s="555">
        <f t="shared" si="56"/>
        <v>12.820512820512823</v>
      </c>
      <c r="K248" s="79">
        <f t="shared" si="56"/>
        <v>0</v>
      </c>
      <c r="L248" s="13">
        <f t="shared" si="56"/>
        <v>0</v>
      </c>
    </row>
    <row r="249" spans="1:13" ht="19.5" customHeight="1">
      <c r="A249" s="28">
        <v>8</v>
      </c>
      <c r="B249" s="29" t="s">
        <v>335</v>
      </c>
      <c r="C249" s="6" t="s">
        <v>323</v>
      </c>
      <c r="D249" s="6">
        <v>36</v>
      </c>
      <c r="E249" s="12">
        <f>'Gia_Dcu-Tbi-Vlieu'!E19</f>
        <v>2640000</v>
      </c>
      <c r="F249" s="35">
        <f t="shared" si="53"/>
        <v>2820.5128205128203</v>
      </c>
      <c r="G249" s="201">
        <v>0.06</v>
      </c>
      <c r="H249" s="201"/>
      <c r="I249" s="201"/>
      <c r="J249" s="555">
        <f t="shared" si="56"/>
        <v>169.23076923076923</v>
      </c>
      <c r="K249" s="79">
        <f t="shared" si="56"/>
        <v>0</v>
      </c>
      <c r="L249" s="13">
        <f t="shared" si="56"/>
        <v>0</v>
      </c>
    </row>
    <row r="250" spans="1:13" ht="19.5" customHeight="1">
      <c r="A250" s="28">
        <v>9</v>
      </c>
      <c r="B250" s="29" t="s">
        <v>336</v>
      </c>
      <c r="C250" s="6" t="s">
        <v>337</v>
      </c>
      <c r="D250" s="6">
        <v>30</v>
      </c>
      <c r="E250" s="12">
        <f>'Gia_Dcu-Tbi-Vlieu'!E20</f>
        <v>165000</v>
      </c>
      <c r="F250" s="35">
        <f t="shared" si="53"/>
        <v>211.53846153846155</v>
      </c>
      <c r="G250" s="201">
        <v>0.32</v>
      </c>
      <c r="H250" s="201"/>
      <c r="I250" s="201"/>
      <c r="J250" s="555">
        <f t="shared" si="56"/>
        <v>67.692307692307693</v>
      </c>
      <c r="K250" s="79">
        <f t="shared" si="56"/>
        <v>0</v>
      </c>
      <c r="L250" s="13">
        <f t="shared" si="56"/>
        <v>0</v>
      </c>
    </row>
    <row r="251" spans="1:13" ht="19.5" customHeight="1">
      <c r="A251" s="28">
        <v>10</v>
      </c>
      <c r="B251" s="529" t="s">
        <v>17</v>
      </c>
      <c r="C251" s="32" t="s">
        <v>338</v>
      </c>
      <c r="D251" s="530">
        <v>1</v>
      </c>
      <c r="E251" s="33">
        <f>'Gia_Dcu-Tbi-Vlieu'!E21</f>
        <v>2226</v>
      </c>
      <c r="F251" s="531">
        <f>D251*E251</f>
        <v>2226</v>
      </c>
      <c r="G251" s="532">
        <v>0.15</v>
      </c>
      <c r="H251" s="532"/>
      <c r="I251" s="532"/>
      <c r="J251" s="556">
        <f t="shared" si="56"/>
        <v>333.9</v>
      </c>
      <c r="K251" s="533">
        <f t="shared" si="56"/>
        <v>0</v>
      </c>
      <c r="L251" s="31">
        <f t="shared" si="56"/>
        <v>0</v>
      </c>
    </row>
    <row r="252" spans="1:13" s="11" customFormat="1" ht="31.5" customHeight="1">
      <c r="A252" s="143"/>
      <c r="B252" s="144" t="s">
        <v>456</v>
      </c>
      <c r="C252" s="145"/>
      <c r="D252" s="146"/>
      <c r="E252" s="147"/>
      <c r="F252" s="148"/>
      <c r="G252" s="203"/>
      <c r="H252" s="203"/>
      <c r="I252" s="204">
        <v>1</v>
      </c>
      <c r="J252" s="149">
        <f>SUM(J242:J250)*$I252+J251</f>
        <v>984.18846153846152</v>
      </c>
      <c r="K252" s="149">
        <f>SUM(K242:K250)*$I252</f>
        <v>0</v>
      </c>
      <c r="L252" s="150">
        <f>SUM(L242:L250)*$I252</f>
        <v>0</v>
      </c>
    </row>
    <row r="253" spans="1:13" ht="19.5" customHeight="1">
      <c r="A253" s="28"/>
      <c r="B253" s="97" t="s">
        <v>294</v>
      </c>
      <c r="C253" s="90"/>
      <c r="D253" s="89"/>
      <c r="E253" s="89"/>
      <c r="F253" s="98"/>
      <c r="G253" s="7"/>
      <c r="H253" s="89"/>
      <c r="I253" s="206"/>
      <c r="J253" s="206"/>
      <c r="K253" s="206"/>
      <c r="L253" s="83"/>
      <c r="M253" s="27"/>
    </row>
    <row r="254" spans="1:13" ht="19.5" customHeight="1">
      <c r="A254" s="28"/>
      <c r="B254" s="991" t="s">
        <v>295</v>
      </c>
      <c r="C254" s="992"/>
      <c r="D254" s="992"/>
      <c r="E254" s="992"/>
      <c r="F254" s="1041"/>
      <c r="G254" s="206"/>
      <c r="H254" s="206"/>
      <c r="I254" s="206"/>
      <c r="J254" s="7"/>
      <c r="K254" s="7"/>
      <c r="L254" s="83"/>
    </row>
    <row r="255" spans="1:13" ht="19.5" customHeight="1">
      <c r="A255" s="28"/>
      <c r="B255" s="991" t="s">
        <v>410</v>
      </c>
      <c r="C255" s="992"/>
      <c r="D255" s="992"/>
      <c r="E255" s="992"/>
      <c r="F255" s="1041"/>
      <c r="G255" s="206">
        <v>0.8</v>
      </c>
      <c r="H255" s="206"/>
      <c r="I255" s="206"/>
      <c r="J255" s="7">
        <f>G255*J$252</f>
        <v>787.35076923076929</v>
      </c>
      <c r="K255" s="7"/>
      <c r="L255" s="83"/>
    </row>
    <row r="256" spans="1:13" ht="19.5" customHeight="1">
      <c r="A256" s="28"/>
      <c r="B256" s="991" t="s">
        <v>411</v>
      </c>
      <c r="C256" s="992"/>
      <c r="D256" s="992"/>
      <c r="E256" s="992"/>
      <c r="F256" s="1041"/>
      <c r="G256" s="206">
        <v>0.65</v>
      </c>
      <c r="H256" s="206"/>
      <c r="I256" s="206"/>
      <c r="J256" s="7">
        <f>G256*J$252</f>
        <v>639.72249999999997</v>
      </c>
      <c r="K256" s="7"/>
      <c r="L256" s="83"/>
    </row>
    <row r="257" spans="1:12" ht="19.5" customHeight="1" thickBot="1">
      <c r="A257" s="91"/>
      <c r="B257" s="1034" t="s">
        <v>412</v>
      </c>
      <c r="C257" s="1035"/>
      <c r="D257" s="1035"/>
      <c r="E257" s="1035"/>
      <c r="F257" s="1036"/>
      <c r="G257" s="215">
        <v>0.5</v>
      </c>
      <c r="H257" s="215"/>
      <c r="I257" s="215"/>
      <c r="J257" s="99">
        <f>G257*J$252</f>
        <v>492.09423076923076</v>
      </c>
      <c r="K257" s="99"/>
      <c r="L257" s="100"/>
    </row>
  </sheetData>
  <mergeCells count="136">
    <mergeCell ref="B26:E29"/>
    <mergeCell ref="B127:F127"/>
    <mergeCell ref="D201:D202"/>
    <mergeCell ref="E201:E202"/>
    <mergeCell ref="I202:J202"/>
    <mergeCell ref="J2:K2"/>
    <mergeCell ref="G202:H202"/>
    <mergeCell ref="G74:H74"/>
    <mergeCell ref="A1:L1"/>
    <mergeCell ref="G73:J73"/>
    <mergeCell ref="K201:N201"/>
    <mergeCell ref="G201:J201"/>
    <mergeCell ref="K202:L202"/>
    <mergeCell ref="M202:N202"/>
    <mergeCell ref="A201:A202"/>
    <mergeCell ref="B135:I135"/>
    <mergeCell ref="B180:F180"/>
    <mergeCell ref="B181:F181"/>
    <mergeCell ref="B199:F199"/>
    <mergeCell ref="B184:I184"/>
    <mergeCell ref="B5:I5"/>
    <mergeCell ref="B42:I42"/>
    <mergeCell ref="B76:I76"/>
    <mergeCell ref="B92:I92"/>
    <mergeCell ref="B257:F257"/>
    <mergeCell ref="B218:F218"/>
    <mergeCell ref="B241:I241"/>
    <mergeCell ref="B223:I223"/>
    <mergeCell ref="B234:F234"/>
    <mergeCell ref="B235:F235"/>
    <mergeCell ref="B236:F236"/>
    <mergeCell ref="G221:I221"/>
    <mergeCell ref="B254:F254"/>
    <mergeCell ref="F221:F222"/>
    <mergeCell ref="B255:F255"/>
    <mergeCell ref="G239:I240"/>
    <mergeCell ref="B256:F256"/>
    <mergeCell ref="E73:E75"/>
    <mergeCell ref="F73:F75"/>
    <mergeCell ref="B104:F104"/>
    <mergeCell ref="B88:F88"/>
    <mergeCell ref="B166:I166"/>
    <mergeCell ref="B159:F159"/>
    <mergeCell ref="B160:F160"/>
    <mergeCell ref="B161:F161"/>
    <mergeCell ref="B162:F162"/>
    <mergeCell ref="B163:F163"/>
    <mergeCell ref="G126:I126"/>
    <mergeCell ref="B73:B75"/>
    <mergeCell ref="C73:C75"/>
    <mergeCell ref="D73:D75"/>
    <mergeCell ref="I74:J74"/>
    <mergeCell ref="B108:I108"/>
    <mergeCell ref="B126:F126"/>
    <mergeCell ref="B128:F128"/>
    <mergeCell ref="G3:I3"/>
    <mergeCell ref="J3:L3"/>
    <mergeCell ref="D3:D4"/>
    <mergeCell ref="E3:E4"/>
    <mergeCell ref="F3:F4"/>
    <mergeCell ref="A3:A4"/>
    <mergeCell ref="B3:B4"/>
    <mergeCell ref="C3:C4"/>
    <mergeCell ref="A73:A75"/>
    <mergeCell ref="B23:E25"/>
    <mergeCell ref="B70:F70"/>
    <mergeCell ref="B31:E33"/>
    <mergeCell ref="B66:F66"/>
    <mergeCell ref="B67:F67"/>
    <mergeCell ref="B68:F68"/>
    <mergeCell ref="B34:E36"/>
    <mergeCell ref="B37:E39"/>
    <mergeCell ref="B40:E40"/>
    <mergeCell ref="K74:L74"/>
    <mergeCell ref="B30:E30"/>
    <mergeCell ref="B71:F71"/>
    <mergeCell ref="B69:F69"/>
    <mergeCell ref="K73:L73"/>
    <mergeCell ref="K75:L75"/>
    <mergeCell ref="A90:A91"/>
    <mergeCell ref="B90:B91"/>
    <mergeCell ref="C90:C91"/>
    <mergeCell ref="D90:D91"/>
    <mergeCell ref="E90:E91"/>
    <mergeCell ref="F90:F91"/>
    <mergeCell ref="G90:I90"/>
    <mergeCell ref="J90:L90"/>
    <mergeCell ref="B89:F89"/>
    <mergeCell ref="A106:A107"/>
    <mergeCell ref="B106:B107"/>
    <mergeCell ref="C106:C107"/>
    <mergeCell ref="D106:D107"/>
    <mergeCell ref="J182:L182"/>
    <mergeCell ref="C86:H86"/>
    <mergeCell ref="B103:F103"/>
    <mergeCell ref="B131:F131"/>
    <mergeCell ref="B132:F132"/>
    <mergeCell ref="B133:F133"/>
    <mergeCell ref="F164:F165"/>
    <mergeCell ref="G164:I164"/>
    <mergeCell ref="J164:L164"/>
    <mergeCell ref="A182:A183"/>
    <mergeCell ref="B182:B183"/>
    <mergeCell ref="C182:C183"/>
    <mergeCell ref="D182:D183"/>
    <mergeCell ref="E182:E183"/>
    <mergeCell ref="F182:F183"/>
    <mergeCell ref="G182:I182"/>
    <mergeCell ref="E106:E107"/>
    <mergeCell ref="F106:F107"/>
    <mergeCell ref="G106:I106"/>
    <mergeCell ref="J106:L106"/>
    <mergeCell ref="A239:A240"/>
    <mergeCell ref="B239:B240"/>
    <mergeCell ref="C239:C240"/>
    <mergeCell ref="D239:D240"/>
    <mergeCell ref="E239:E240"/>
    <mergeCell ref="F239:F240"/>
    <mergeCell ref="A164:A165"/>
    <mergeCell ref="B164:B165"/>
    <mergeCell ref="C164:C165"/>
    <mergeCell ref="D164:D165"/>
    <mergeCell ref="E164:E165"/>
    <mergeCell ref="A221:A222"/>
    <mergeCell ref="B221:B222"/>
    <mergeCell ref="C221:C222"/>
    <mergeCell ref="D221:D222"/>
    <mergeCell ref="E221:E222"/>
    <mergeCell ref="B216:F216"/>
    <mergeCell ref="F201:F202"/>
    <mergeCell ref="B217:F217"/>
    <mergeCell ref="B203:J203"/>
    <mergeCell ref="J221:L221"/>
    <mergeCell ref="J239:L240"/>
    <mergeCell ref="B201:B202"/>
    <mergeCell ref="C201:C202"/>
  </mergeCells>
  <phoneticPr fontId="4" type="noConversion"/>
  <printOptions horizontalCentered="1"/>
  <pageMargins left="0.39370078740157483" right="0.19685039370078741" top="0.39370078740157483" bottom="0.47244094488188981" header="0.19685039370078741" footer="0.19685039370078741"/>
  <pageSetup paperSize="9" scale="86" firstPageNumber="90" pageOrder="overThenDown" orientation="landscape" useFirstPageNumber="1" r:id="rId1"/>
  <headerFooter alignWithMargins="0">
    <oddFooter>&amp;C&amp;P</oddFooter>
  </headerFooter>
  <rowBreaks count="1" manualBreakCount="1">
    <brk id="25" max="11" man="1"/>
  </rowBreaks>
  <ignoredErrors>
    <ignoredError sqref="L12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I175"/>
  <sheetViews>
    <sheetView showZeros="0" zoomScale="85" zoomScaleNormal="85" workbookViewId="0">
      <pane ySplit="3" topLeftCell="A153" activePane="bottomLeft" state="frozen"/>
      <selection pane="bottomLeft" activeCell="B51" sqref="B51"/>
    </sheetView>
  </sheetViews>
  <sheetFormatPr defaultColWidth="9" defaultRowHeight="15.5"/>
  <cols>
    <col min="1" max="1" width="8" style="39" customWidth="1"/>
    <col min="2" max="2" width="51.84375" style="38" customWidth="1"/>
    <col min="3" max="3" width="10.4609375" style="39" customWidth="1"/>
    <col min="4" max="4" width="9.84375" style="39" customWidth="1"/>
    <col min="5" max="5" width="10.4609375" style="38" customWidth="1"/>
    <col min="6" max="6" width="15.23046875" style="38" customWidth="1"/>
    <col min="7" max="7" width="11.765625" style="40" customWidth="1"/>
    <col min="8" max="8" width="11.07421875" style="43" customWidth="1"/>
    <col min="9" max="9" width="16" style="42" customWidth="1"/>
    <col min="10" max="10" width="5.765625" style="38" customWidth="1"/>
    <col min="11" max="11" width="22.84375" style="38" customWidth="1"/>
    <col min="12" max="16384" width="9" style="38"/>
  </cols>
  <sheetData>
    <row r="1" spans="1:9" ht="27" customHeight="1">
      <c r="A1" s="891" t="s">
        <v>452</v>
      </c>
      <c r="B1" s="891"/>
      <c r="C1" s="891"/>
      <c r="D1" s="891"/>
      <c r="E1" s="891"/>
      <c r="F1" s="891"/>
      <c r="G1" s="891"/>
      <c r="H1" s="891"/>
      <c r="I1" s="891"/>
    </row>
    <row r="2" spans="1:9">
      <c r="H2" s="43" t="s">
        <v>111</v>
      </c>
      <c r="I2" s="41" t="s">
        <v>114</v>
      </c>
    </row>
    <row r="3" spans="1:9" s="5" customFormat="1" ht="45.5">
      <c r="A3" s="393" t="s">
        <v>23</v>
      </c>
      <c r="B3" s="393" t="s">
        <v>29</v>
      </c>
      <c r="C3" s="393" t="s">
        <v>38</v>
      </c>
      <c r="D3" s="393" t="s">
        <v>4</v>
      </c>
      <c r="E3" s="393" t="s">
        <v>5</v>
      </c>
      <c r="F3" s="393" t="s">
        <v>30</v>
      </c>
      <c r="G3" s="632" t="s">
        <v>0</v>
      </c>
      <c r="H3" s="633" t="s">
        <v>392</v>
      </c>
      <c r="I3" s="234" t="s">
        <v>35</v>
      </c>
    </row>
    <row r="4" spans="1:9" s="9" customFormat="1" ht="58.5" customHeight="1">
      <c r="A4" s="636" t="str">
        <f>L_CViec!A10</f>
        <v>I</v>
      </c>
      <c r="B4" s="1065" t="str">
        <f>L_CViec!B10</f>
        <v>Đăng ký, cấp Giấy chứng nhận lần đầu đồng loạt đối hộ gia đình, cá nhân, cộng đồng dân cư, tổ chức sử dụng đất, người gốc Việt Nam định cư ở nước ngoài tại địa bàn xã, phường, đặc khu</v>
      </c>
      <c r="C4" s="1065"/>
      <c r="D4" s="1065"/>
      <c r="E4" s="637"/>
      <c r="F4" s="637"/>
      <c r="G4" s="638"/>
      <c r="H4" s="639"/>
      <c r="I4" s="667" t="s">
        <v>601</v>
      </c>
    </row>
    <row r="5" spans="1:9" s="550" customFormat="1">
      <c r="A5" s="640">
        <v>1</v>
      </c>
      <c r="B5" s="641" t="s">
        <v>588</v>
      </c>
      <c r="C5" s="640"/>
      <c r="D5" s="640"/>
      <c r="E5" s="640"/>
      <c r="F5" s="642"/>
      <c r="G5" s="643"/>
      <c r="H5" s="644"/>
      <c r="I5" s="645">
        <f>SUM(I6:I11)</f>
        <v>6994.8023571428575</v>
      </c>
    </row>
    <row r="6" spans="1:9" s="551" customFormat="1">
      <c r="A6" s="646"/>
      <c r="B6" s="647" t="s">
        <v>367</v>
      </c>
      <c r="C6" s="646" t="s">
        <v>323</v>
      </c>
      <c r="D6" s="646">
        <v>0.4</v>
      </c>
      <c r="E6" s="646">
        <f>'Gia_Dcu-Tbi-Vlieu'!E$26</f>
        <v>7</v>
      </c>
      <c r="F6" s="648">
        <f>'Gia_Dcu-Tbi-Vlieu'!F$26</f>
        <v>13127000</v>
      </c>
      <c r="G6" s="649">
        <f>'Gia_Dcu-Tbi-Vlieu'!G$26</f>
        <v>3750.5714285714284</v>
      </c>
      <c r="H6" s="650">
        <v>0.313</v>
      </c>
      <c r="I6" s="651">
        <f t="shared" ref="I6:I20" si="0">G6*H6</f>
        <v>1173.9288571428572</v>
      </c>
    </row>
    <row r="7" spans="1:9" s="551" customFormat="1">
      <c r="A7" s="646"/>
      <c r="B7" s="647" t="s">
        <v>340</v>
      </c>
      <c r="C7" s="646" t="s">
        <v>323</v>
      </c>
      <c r="D7" s="646">
        <v>0.6</v>
      </c>
      <c r="E7" s="646">
        <f>'Gia_Dcu-Tbi-Vlieu'!E$27</f>
        <v>8</v>
      </c>
      <c r="F7" s="648">
        <f>'Gia_Dcu-Tbi-Vlieu'!F$27</f>
        <v>4082000</v>
      </c>
      <c r="G7" s="649">
        <f>'Gia_Dcu-Tbi-Vlieu'!G$27</f>
        <v>1020.5</v>
      </c>
      <c r="H7" s="650">
        <v>3.3000000000000002E-2</v>
      </c>
      <c r="I7" s="651">
        <f t="shared" si="0"/>
        <v>33.676500000000004</v>
      </c>
    </row>
    <row r="8" spans="1:9" s="551" customFormat="1">
      <c r="A8" s="646"/>
      <c r="B8" s="647" t="s">
        <v>342</v>
      </c>
      <c r="C8" s="646" t="s">
        <v>323</v>
      </c>
      <c r="D8" s="646">
        <v>0.6</v>
      </c>
      <c r="E8" s="646">
        <f>'Gia_Dcu-Tbi-Vlieu'!E$28</f>
        <v>8</v>
      </c>
      <c r="F8" s="648">
        <f>'Gia_Dcu-Tbi-Vlieu'!F$28</f>
        <v>14445000</v>
      </c>
      <c r="G8" s="649">
        <f>'Gia_Dcu-Tbi-Vlieu'!G$28</f>
        <v>3611.25</v>
      </c>
      <c r="H8" s="650">
        <v>0.04</v>
      </c>
      <c r="I8" s="651">
        <f t="shared" si="0"/>
        <v>144.45000000000002</v>
      </c>
    </row>
    <row r="9" spans="1:9" s="551" customFormat="1">
      <c r="A9" s="646"/>
      <c r="B9" s="647" t="s">
        <v>343</v>
      </c>
      <c r="C9" s="646" t="s">
        <v>323</v>
      </c>
      <c r="D9" s="646">
        <v>0.6</v>
      </c>
      <c r="E9" s="646">
        <f>'Gia_Dcu-Tbi-Vlieu'!E$29</f>
        <v>8</v>
      </c>
      <c r="F9" s="648">
        <f>'Gia_Dcu-Tbi-Vlieu'!F$30</f>
        <v>78082000</v>
      </c>
      <c r="G9" s="649">
        <f>'Gia_Dcu-Tbi-Vlieu'!G$29</f>
        <v>70200</v>
      </c>
      <c r="H9" s="650">
        <v>0.04</v>
      </c>
      <c r="I9" s="651">
        <f t="shared" si="0"/>
        <v>2808</v>
      </c>
    </row>
    <row r="10" spans="1:9" s="552" customFormat="1">
      <c r="A10" s="646"/>
      <c r="B10" s="647" t="s">
        <v>368</v>
      </c>
      <c r="C10" s="646" t="s">
        <v>323</v>
      </c>
      <c r="D10" s="646">
        <v>2.2000000000000002</v>
      </c>
      <c r="E10" s="646">
        <f>'Gia_Dcu-Tbi-Vlieu'!E$30</f>
        <v>8</v>
      </c>
      <c r="F10" s="648">
        <f>'Gia_Dcu-Tbi-Vlieu'!F$31</f>
        <v>9910000</v>
      </c>
      <c r="G10" s="649">
        <f>'Gia_Dcu-Tbi-Vlieu'!G$30</f>
        <v>19520.5</v>
      </c>
      <c r="H10" s="650">
        <v>0.13900000000000001</v>
      </c>
      <c r="I10" s="651">
        <f t="shared" si="0"/>
        <v>2713.3495000000003</v>
      </c>
    </row>
    <row r="11" spans="1:9" s="550" customFormat="1">
      <c r="A11" s="646"/>
      <c r="B11" s="647" t="s">
        <v>42</v>
      </c>
      <c r="C11" s="646" t="s">
        <v>323</v>
      </c>
      <c r="D11" s="646">
        <v>1.5</v>
      </c>
      <c r="E11" s="646">
        <f>'Gia_Dcu-Tbi-Vlieu'!E$31</f>
        <v>8</v>
      </c>
      <c r="F11" s="648">
        <f>'Gia_Dcu-Tbi-Vlieu'!F$32</f>
        <v>179900000</v>
      </c>
      <c r="G11" s="649">
        <f>'Gia_Dcu-Tbi-Vlieu'!G$31</f>
        <v>2477.5</v>
      </c>
      <c r="H11" s="650">
        <v>4.9000000000000002E-2</v>
      </c>
      <c r="I11" s="651">
        <f t="shared" si="0"/>
        <v>121.39750000000001</v>
      </c>
    </row>
    <row r="12" spans="1:9" s="550" customFormat="1">
      <c r="A12" s="640"/>
      <c r="B12" s="641" t="s">
        <v>17</v>
      </c>
      <c r="C12" s="640" t="s">
        <v>338</v>
      </c>
      <c r="D12" s="640"/>
      <c r="E12" s="652">
        <f>'Gia_Dcu-Tbi-Vlieu'!E$35</f>
        <v>1.05</v>
      </c>
      <c r="F12" s="642">
        <f>'Gia_Dcu-Tbi-Vlieu'!F$35</f>
        <v>2226</v>
      </c>
      <c r="G12" s="643">
        <f>'Gia_Dcu-Tbi-Vlieu'!G$35</f>
        <v>2337.3000000000002</v>
      </c>
      <c r="H12" s="644">
        <v>4.5750000000000002</v>
      </c>
      <c r="I12" s="653">
        <f t="shared" si="0"/>
        <v>10693.147500000001</v>
      </c>
    </row>
    <row r="13" spans="1:9" s="550" customFormat="1">
      <c r="A13" s="640">
        <v>2</v>
      </c>
      <c r="B13" s="641" t="s">
        <v>321</v>
      </c>
      <c r="C13" s="640"/>
      <c r="D13" s="640"/>
      <c r="E13" s="640"/>
      <c r="F13" s="642"/>
      <c r="G13" s="643"/>
      <c r="H13" s="644"/>
      <c r="I13" s="653">
        <f>SUM(I14:I19)</f>
        <v>1911.9805714285717</v>
      </c>
    </row>
    <row r="14" spans="1:9" s="551" customFormat="1">
      <c r="A14" s="646"/>
      <c r="B14" s="647" t="s">
        <v>367</v>
      </c>
      <c r="C14" s="646" t="s">
        <v>323</v>
      </c>
      <c r="D14" s="646">
        <v>0.4</v>
      </c>
      <c r="E14" s="646">
        <f>'Gia_Dcu-Tbi-Vlieu'!E$26</f>
        <v>7</v>
      </c>
      <c r="F14" s="648">
        <f>'Gia_Dcu-Tbi-Vlieu'!F$26</f>
        <v>13127000</v>
      </c>
      <c r="G14" s="649">
        <f>'Gia_Dcu-Tbi-Vlieu'!G$26</f>
        <v>3750.5714285714284</v>
      </c>
      <c r="H14" s="650">
        <v>0.14099999999999999</v>
      </c>
      <c r="I14" s="651">
        <f t="shared" si="0"/>
        <v>528.83057142857137</v>
      </c>
    </row>
    <row r="15" spans="1:9" s="551" customFormat="1">
      <c r="A15" s="646"/>
      <c r="B15" s="647" t="s">
        <v>340</v>
      </c>
      <c r="C15" s="646" t="s">
        <v>323</v>
      </c>
      <c r="D15" s="646">
        <v>0.6</v>
      </c>
      <c r="E15" s="646">
        <f>'Gia_Dcu-Tbi-Vlieu'!E$27</f>
        <v>8</v>
      </c>
      <c r="F15" s="648">
        <f>'Gia_Dcu-Tbi-Vlieu'!F$27</f>
        <v>4082000</v>
      </c>
      <c r="G15" s="649">
        <f>'Gia_Dcu-Tbi-Vlieu'!G$27</f>
        <v>1020.5</v>
      </c>
      <c r="H15" s="650">
        <v>3.0000000000000001E-3</v>
      </c>
      <c r="I15" s="651">
        <f t="shared" si="0"/>
        <v>3.0615000000000001</v>
      </c>
    </row>
    <row r="16" spans="1:9" s="551" customFormat="1">
      <c r="A16" s="646"/>
      <c r="B16" s="647" t="s">
        <v>342</v>
      </c>
      <c r="C16" s="646" t="s">
        <v>323</v>
      </c>
      <c r="D16" s="646">
        <v>0.6</v>
      </c>
      <c r="E16" s="646">
        <f>'Gia_Dcu-Tbi-Vlieu'!E$28</f>
        <v>8</v>
      </c>
      <c r="F16" s="648">
        <f>'Gia_Dcu-Tbi-Vlieu'!F$28</f>
        <v>14445000</v>
      </c>
      <c r="G16" s="649">
        <f>'Gia_Dcu-Tbi-Vlieu'!G$28</f>
        <v>3611.25</v>
      </c>
      <c r="H16" s="650">
        <v>1.7999999999999999E-2</v>
      </c>
      <c r="I16" s="651">
        <f t="shared" si="0"/>
        <v>65.002499999999998</v>
      </c>
    </row>
    <row r="17" spans="1:9" s="551" customFormat="1">
      <c r="A17" s="646"/>
      <c r="B17" s="647" t="s">
        <v>368</v>
      </c>
      <c r="C17" s="646" t="s">
        <v>323</v>
      </c>
      <c r="D17" s="646">
        <v>2.2000000000000002</v>
      </c>
      <c r="E17" s="646">
        <f>'Gia_Dcu-Tbi-Vlieu'!E$30</f>
        <v>8</v>
      </c>
      <c r="F17" s="648">
        <f>'Gia_Dcu-Tbi-Vlieu'!F$31</f>
        <v>9910000</v>
      </c>
      <c r="G17" s="649">
        <f>'Gia_Dcu-Tbi-Vlieu'!G$30</f>
        <v>19520.5</v>
      </c>
      <c r="H17" s="650">
        <v>6.4000000000000001E-2</v>
      </c>
      <c r="I17" s="651">
        <f t="shared" si="0"/>
        <v>1249.3120000000001</v>
      </c>
    </row>
    <row r="18" spans="1:9" s="551" customFormat="1">
      <c r="A18" s="646"/>
      <c r="B18" s="647" t="s">
        <v>42</v>
      </c>
      <c r="C18" s="646" t="s">
        <v>323</v>
      </c>
      <c r="D18" s="646">
        <v>1.5</v>
      </c>
      <c r="E18" s="646">
        <f>'Gia_Dcu-Tbi-Vlieu'!E$31</f>
        <v>8</v>
      </c>
      <c r="F18" s="648">
        <f>'Gia_Dcu-Tbi-Vlieu'!F$32</f>
        <v>179900000</v>
      </c>
      <c r="G18" s="649">
        <f>'Gia_Dcu-Tbi-Vlieu'!G$31</f>
        <v>2477.5</v>
      </c>
      <c r="H18" s="650">
        <v>6.0000000000000001E-3</v>
      </c>
      <c r="I18" s="651">
        <f t="shared" si="0"/>
        <v>14.865</v>
      </c>
    </row>
    <row r="19" spans="1:9" s="551" customFormat="1">
      <c r="A19" s="646"/>
      <c r="B19" s="647" t="s">
        <v>369</v>
      </c>
      <c r="C19" s="646" t="s">
        <v>323</v>
      </c>
      <c r="D19" s="646">
        <v>0.4</v>
      </c>
      <c r="E19" s="646">
        <f>'Gia_Dcu-Tbi-Vlieu'!E$34</f>
        <v>8</v>
      </c>
      <c r="F19" s="648">
        <f>'Gia_Dcu-Tbi-Vlieu'!F$34</f>
        <v>101818000</v>
      </c>
      <c r="G19" s="649">
        <f>'Gia_Dcu-Tbi-Vlieu'!G$34</f>
        <v>25454.5</v>
      </c>
      <c r="H19" s="650">
        <v>2E-3</v>
      </c>
      <c r="I19" s="651">
        <f t="shared" si="0"/>
        <v>50.908999999999999</v>
      </c>
    </row>
    <row r="20" spans="1:9" s="37" customFormat="1" ht="22.5" customHeight="1">
      <c r="A20" s="654"/>
      <c r="B20" s="655" t="s">
        <v>17</v>
      </c>
      <c r="C20" s="654" t="s">
        <v>338</v>
      </c>
      <c r="D20" s="654"/>
      <c r="E20" s="656">
        <f>'Gia_Dcu-Tbi-Vlieu'!E$35</f>
        <v>1.05</v>
      </c>
      <c r="F20" s="657">
        <f>'Gia_Dcu-Tbi-Vlieu'!F$35</f>
        <v>2226</v>
      </c>
      <c r="G20" s="658">
        <f>'Gia_Dcu-Tbi-Vlieu'!G$35</f>
        <v>2337.3000000000002</v>
      </c>
      <c r="H20" s="659">
        <v>1.758</v>
      </c>
      <c r="I20" s="660">
        <f t="shared" si="0"/>
        <v>4108.9734000000008</v>
      </c>
    </row>
    <row r="21" spans="1:9">
      <c r="A21" s="244"/>
      <c r="B21" s="257" t="s">
        <v>294</v>
      </c>
      <c r="C21" s="244"/>
      <c r="D21" s="244"/>
      <c r="E21" s="244"/>
      <c r="F21" s="661"/>
      <c r="G21" s="662"/>
      <c r="H21" s="663"/>
      <c r="I21" s="664"/>
    </row>
    <row r="22" spans="1:9" s="553" customFormat="1" ht="33" customHeight="1">
      <c r="A22" s="665"/>
      <c r="B22" s="1067" t="s">
        <v>602</v>
      </c>
      <c r="C22" s="1067"/>
      <c r="D22" s="1067"/>
      <c r="E22" s="1067"/>
      <c r="F22" s="1066" t="s">
        <v>692</v>
      </c>
      <c r="G22" s="1066"/>
      <c r="H22" s="666">
        <v>1.6</v>
      </c>
      <c r="I22" s="557">
        <f>H22*I5</f>
        <v>11191.683771428572</v>
      </c>
    </row>
    <row r="23" spans="1:9" s="553" customFormat="1" ht="28.15" hidden="1" customHeight="1">
      <c r="A23" s="665"/>
      <c r="B23" s="1067"/>
      <c r="C23" s="1067"/>
      <c r="D23" s="1067"/>
      <c r="E23" s="1067"/>
      <c r="F23" s="1066"/>
      <c r="G23" s="1066"/>
      <c r="H23" s="666"/>
      <c r="I23" s="557">
        <f>H23*I$5</f>
        <v>0</v>
      </c>
    </row>
    <row r="24" spans="1:9" s="553" customFormat="1" ht="37.5" customHeight="1">
      <c r="A24" s="665"/>
      <c r="B24" s="1067"/>
      <c r="C24" s="1067"/>
      <c r="D24" s="1067"/>
      <c r="E24" s="1067"/>
      <c r="F24" s="1066" t="s">
        <v>321</v>
      </c>
      <c r="G24" s="1066"/>
      <c r="H24" s="666">
        <v>1.6</v>
      </c>
      <c r="I24" s="557">
        <f>H24*I$13</f>
        <v>3059.1689142857149</v>
      </c>
    </row>
    <row r="25" spans="1:9" s="553" customFormat="1" ht="22.15" customHeight="1">
      <c r="A25" s="665"/>
      <c r="B25" s="1067" t="s">
        <v>757</v>
      </c>
      <c r="C25" s="1067"/>
      <c r="D25" s="1067"/>
      <c r="E25" s="1067"/>
      <c r="F25" s="1066" t="s">
        <v>692</v>
      </c>
      <c r="G25" s="1066"/>
      <c r="H25" s="666"/>
      <c r="I25" s="557">
        <f>I5</f>
        <v>6994.8023571428575</v>
      </c>
    </row>
    <row r="26" spans="1:9" s="553" customFormat="1" ht="22.15" hidden="1" customHeight="1">
      <c r="A26" s="665"/>
      <c r="B26" s="1067"/>
      <c r="C26" s="1067"/>
      <c r="D26" s="1067"/>
      <c r="E26" s="1067"/>
      <c r="F26" s="1066"/>
      <c r="G26" s="1066"/>
      <c r="H26" s="666"/>
      <c r="I26" s="557">
        <f>H26*I$5</f>
        <v>0</v>
      </c>
    </row>
    <row r="27" spans="1:9" s="553" customFormat="1" ht="22.15" customHeight="1">
      <c r="A27" s="665"/>
      <c r="B27" s="1067"/>
      <c r="C27" s="1067"/>
      <c r="D27" s="1067"/>
      <c r="E27" s="1067"/>
      <c r="F27" s="1066" t="s">
        <v>321</v>
      </c>
      <c r="G27" s="1066"/>
      <c r="H27" s="666"/>
      <c r="I27" s="557">
        <v>0</v>
      </c>
    </row>
    <row r="28" spans="1:9" s="554" customFormat="1" ht="24.75" customHeight="1">
      <c r="A28" s="665"/>
      <c r="B28" s="1067" t="s">
        <v>603</v>
      </c>
      <c r="C28" s="1067"/>
      <c r="D28" s="1067"/>
      <c r="E28" s="1067"/>
      <c r="F28" s="1066" t="s">
        <v>692</v>
      </c>
      <c r="G28" s="1066"/>
      <c r="H28" s="666">
        <v>0.5</v>
      </c>
      <c r="I28" s="557">
        <f>H28*I5</f>
        <v>3497.4011785714288</v>
      </c>
    </row>
    <row r="29" spans="1:9" s="554" customFormat="1" ht="21.75" customHeight="1">
      <c r="A29" s="665"/>
      <c r="B29" s="1069"/>
      <c r="C29" s="1069"/>
      <c r="D29" s="1069"/>
      <c r="E29" s="1069"/>
      <c r="F29" s="1066" t="s">
        <v>321</v>
      </c>
      <c r="G29" s="1066"/>
      <c r="H29" s="666">
        <v>0.5</v>
      </c>
      <c r="I29" s="557">
        <f>H29*I13</f>
        <v>955.99028571428585</v>
      </c>
    </row>
    <row r="30" spans="1:9" s="553" customFormat="1" ht="24.75" customHeight="1">
      <c r="A30" s="665"/>
      <c r="B30" s="1067" t="s">
        <v>604</v>
      </c>
      <c r="C30" s="1067"/>
      <c r="D30" s="1067"/>
      <c r="E30" s="1067"/>
      <c r="F30" s="1066" t="s">
        <v>692</v>
      </c>
      <c r="G30" s="1066"/>
      <c r="H30" s="666">
        <v>0.9</v>
      </c>
      <c r="I30" s="557">
        <f>H30*I5</f>
        <v>6295.3221214285722</v>
      </c>
    </row>
    <row r="31" spans="1:9" s="553" customFormat="1" hidden="1">
      <c r="A31" s="665"/>
      <c r="B31" s="1067"/>
      <c r="C31" s="1067"/>
      <c r="D31" s="1067"/>
      <c r="E31" s="1067"/>
      <c r="F31" s="1066"/>
      <c r="G31" s="1066"/>
      <c r="H31" s="666"/>
      <c r="I31" s="557">
        <f>H31*I$5</f>
        <v>0</v>
      </c>
    </row>
    <row r="32" spans="1:9" s="553" customFormat="1" ht="26.25" customHeight="1">
      <c r="A32" s="665"/>
      <c r="B32" s="1067"/>
      <c r="C32" s="1067"/>
      <c r="D32" s="1067"/>
      <c r="E32" s="1067"/>
      <c r="F32" s="1066" t="s">
        <v>321</v>
      </c>
      <c r="G32" s="1066"/>
      <c r="H32" s="666">
        <v>0.9</v>
      </c>
      <c r="I32" s="557">
        <f>H32*I$13</f>
        <v>1720.7825142857146</v>
      </c>
    </row>
    <row r="33" spans="1:9" s="553" customFormat="1" ht="22.5" customHeight="1">
      <c r="A33" s="665"/>
      <c r="B33" s="1067" t="s">
        <v>758</v>
      </c>
      <c r="C33" s="1067"/>
      <c r="D33" s="1067"/>
      <c r="E33" s="1067"/>
      <c r="F33" s="1066" t="s">
        <v>692</v>
      </c>
      <c r="G33" s="1066"/>
      <c r="H33" s="666">
        <v>0.3</v>
      </c>
      <c r="I33" s="557">
        <f>H33*I5</f>
        <v>2098.4407071428573</v>
      </c>
    </row>
    <row r="34" spans="1:9" s="553" customFormat="1" hidden="1">
      <c r="A34" s="665"/>
      <c r="B34" s="1067"/>
      <c r="C34" s="1067"/>
      <c r="D34" s="1067"/>
      <c r="E34" s="1067"/>
      <c r="F34" s="1066"/>
      <c r="G34" s="1066"/>
      <c r="H34" s="666"/>
      <c r="I34" s="557">
        <f>H34*I$5</f>
        <v>0</v>
      </c>
    </row>
    <row r="35" spans="1:9" s="553" customFormat="1" ht="31.5" customHeight="1">
      <c r="A35" s="665"/>
      <c r="B35" s="1067"/>
      <c r="C35" s="1067"/>
      <c r="D35" s="1067"/>
      <c r="E35" s="1067"/>
      <c r="F35" s="1066" t="s">
        <v>321</v>
      </c>
      <c r="G35" s="1066"/>
      <c r="H35" s="666">
        <v>0.2</v>
      </c>
      <c r="I35" s="557">
        <f>H35*I$13</f>
        <v>382.39611428571436</v>
      </c>
    </row>
    <row r="36" spans="1:9">
      <c r="A36" s="244"/>
      <c r="B36" s="245"/>
      <c r="C36" s="244"/>
      <c r="D36" s="244"/>
      <c r="E36" s="244"/>
      <c r="F36" s="661"/>
      <c r="G36" s="662"/>
      <c r="H36" s="663"/>
      <c r="I36" s="664"/>
    </row>
    <row r="37" spans="1:9" s="9" customFormat="1" ht="36.75" customHeight="1">
      <c r="A37" s="636" t="str">
        <f>L_CViec!A91</f>
        <v>II</v>
      </c>
      <c r="B37" s="1065" t="str">
        <f>L_CViec!B91</f>
        <v>Đăng ký, cấp Giấy chứng nhận lần đầu đơn lẻ đối với hộ gia đình, cá nhân, cộng đồng dân cư, tổ chức trong nước, người gốc Việt Nam định cư ở nước ngoài tại địa bàn xã, phường</v>
      </c>
      <c r="C37" s="1065"/>
      <c r="D37" s="1065"/>
      <c r="E37" s="637"/>
      <c r="F37" s="637"/>
      <c r="G37" s="638"/>
      <c r="H37" s="639"/>
      <c r="I37" s="667" t="s">
        <v>776</v>
      </c>
    </row>
    <row r="38" spans="1:9">
      <c r="A38" s="654">
        <v>1</v>
      </c>
      <c r="B38" s="655" t="s">
        <v>692</v>
      </c>
      <c r="C38" s="654"/>
      <c r="D38" s="654"/>
      <c r="E38" s="654"/>
      <c r="F38" s="657"/>
      <c r="G38" s="658"/>
      <c r="H38" s="659"/>
      <c r="I38" s="668">
        <f>SUM(I39:I44)</f>
        <v>7693.2133571428576</v>
      </c>
    </row>
    <row r="39" spans="1:9" s="37" customFormat="1">
      <c r="A39" s="244"/>
      <c r="B39" s="245" t="s">
        <v>367</v>
      </c>
      <c r="C39" s="244" t="s">
        <v>323</v>
      </c>
      <c r="D39" s="244">
        <v>0.4</v>
      </c>
      <c r="E39" s="244">
        <f>'Gia_Dcu-Tbi-Vlieu'!E$26</f>
        <v>7</v>
      </c>
      <c r="F39" s="661">
        <f>'Gia_Dcu-Tbi-Vlieu'!F$26</f>
        <v>13127000</v>
      </c>
      <c r="G39" s="662">
        <f>'Gia_Dcu-Tbi-Vlieu'!G$26</f>
        <v>3750.5714285714284</v>
      </c>
      <c r="H39" s="669">
        <v>0.63500000000000001</v>
      </c>
      <c r="I39" s="664">
        <f t="shared" ref="I39:I45" si="1">G39*H39</f>
        <v>2381.6128571428571</v>
      </c>
    </row>
    <row r="40" spans="1:9">
      <c r="A40" s="244"/>
      <c r="B40" s="245" t="s">
        <v>340</v>
      </c>
      <c r="C40" s="244" t="s">
        <v>323</v>
      </c>
      <c r="D40" s="244">
        <v>0.6</v>
      </c>
      <c r="E40" s="244">
        <f>'Gia_Dcu-Tbi-Vlieu'!E$27</f>
        <v>8</v>
      </c>
      <c r="F40" s="661">
        <f>'Gia_Dcu-Tbi-Vlieu'!F$27</f>
        <v>4082000</v>
      </c>
      <c r="G40" s="662">
        <f>'Gia_Dcu-Tbi-Vlieu'!G$27</f>
        <v>1020.5</v>
      </c>
      <c r="H40" s="669">
        <v>1.7999999999999999E-2</v>
      </c>
      <c r="I40" s="664">
        <f t="shared" si="1"/>
        <v>18.369</v>
      </c>
    </row>
    <row r="41" spans="1:9">
      <c r="A41" s="244"/>
      <c r="B41" s="245" t="s">
        <v>342</v>
      </c>
      <c r="C41" s="244" t="s">
        <v>323</v>
      </c>
      <c r="D41" s="244">
        <v>0.6</v>
      </c>
      <c r="E41" s="244">
        <f>'Gia_Dcu-Tbi-Vlieu'!E$28</f>
        <v>8</v>
      </c>
      <c r="F41" s="661">
        <f>'Gia_Dcu-Tbi-Vlieu'!F$28</f>
        <v>14445000</v>
      </c>
      <c r="G41" s="662">
        <f>'Gia_Dcu-Tbi-Vlieu'!G$28</f>
        <v>3611.25</v>
      </c>
      <c r="H41" s="669">
        <v>0.02</v>
      </c>
      <c r="I41" s="664">
        <f t="shared" si="1"/>
        <v>72.225000000000009</v>
      </c>
    </row>
    <row r="42" spans="1:9">
      <c r="A42" s="244"/>
      <c r="B42" s="245" t="s">
        <v>343</v>
      </c>
      <c r="C42" s="244" t="s">
        <v>323</v>
      </c>
      <c r="D42" s="244">
        <v>0.6</v>
      </c>
      <c r="E42" s="244">
        <f>'Gia_Dcu-Tbi-Vlieu'!E$29</f>
        <v>8</v>
      </c>
      <c r="F42" s="661">
        <f>'Gia_Dcu-Tbi-Vlieu'!F$30</f>
        <v>78082000</v>
      </c>
      <c r="G42" s="662">
        <f>'Gia_Dcu-Tbi-Vlieu'!G$29</f>
        <v>70200</v>
      </c>
      <c r="H42" s="669">
        <v>0.02</v>
      </c>
      <c r="I42" s="664">
        <f t="shared" si="1"/>
        <v>1404</v>
      </c>
    </row>
    <row r="43" spans="1:9">
      <c r="A43" s="244"/>
      <c r="B43" s="245" t="s">
        <v>368</v>
      </c>
      <c r="C43" s="244" t="s">
        <v>323</v>
      </c>
      <c r="D43" s="244">
        <v>2.2000000000000002</v>
      </c>
      <c r="E43" s="244">
        <f>'Gia_Dcu-Tbi-Vlieu'!E$30</f>
        <v>8</v>
      </c>
      <c r="F43" s="661">
        <f>'Gia_Dcu-Tbi-Vlieu'!F$31</f>
        <v>9910000</v>
      </c>
      <c r="G43" s="662">
        <f>'Gia_Dcu-Tbi-Vlieu'!G$30</f>
        <v>19520.5</v>
      </c>
      <c r="H43" s="669">
        <v>0.193</v>
      </c>
      <c r="I43" s="664">
        <f t="shared" si="1"/>
        <v>3767.4565000000002</v>
      </c>
    </row>
    <row r="44" spans="1:9" s="5" customFormat="1">
      <c r="A44" s="244"/>
      <c r="B44" s="245" t="s">
        <v>42</v>
      </c>
      <c r="C44" s="244" t="s">
        <v>323</v>
      </c>
      <c r="D44" s="244">
        <v>1.5</v>
      </c>
      <c r="E44" s="244">
        <f>'Gia_Dcu-Tbi-Vlieu'!E$31</f>
        <v>8</v>
      </c>
      <c r="F44" s="661">
        <f>'Gia_Dcu-Tbi-Vlieu'!F$32</f>
        <v>179900000</v>
      </c>
      <c r="G44" s="662">
        <f>'Gia_Dcu-Tbi-Vlieu'!G$31</f>
        <v>2477.5</v>
      </c>
      <c r="H44" s="669">
        <v>0.02</v>
      </c>
      <c r="I44" s="664">
        <f t="shared" si="1"/>
        <v>49.550000000000004</v>
      </c>
    </row>
    <row r="45" spans="1:9" s="37" customFormat="1">
      <c r="A45" s="654"/>
      <c r="B45" s="655" t="s">
        <v>17</v>
      </c>
      <c r="C45" s="654" t="s">
        <v>338</v>
      </c>
      <c r="D45" s="654"/>
      <c r="E45" s="656">
        <f>'Gia_Dcu-Tbi-Vlieu'!E$35</f>
        <v>1.05</v>
      </c>
      <c r="F45" s="657">
        <f>'Gia_Dcu-Tbi-Vlieu'!F$35</f>
        <v>2226</v>
      </c>
      <c r="G45" s="658">
        <f>'Gia_Dcu-Tbi-Vlieu'!G$35</f>
        <v>2337.3000000000002</v>
      </c>
      <c r="H45" s="669">
        <v>5.9390000000000001</v>
      </c>
      <c r="I45" s="668">
        <f t="shared" si="1"/>
        <v>13881.224700000001</v>
      </c>
    </row>
    <row r="46" spans="1:9" s="5" customFormat="1" ht="15">
      <c r="A46" s="167"/>
      <c r="B46" s="257" t="s">
        <v>294</v>
      </c>
      <c r="C46" s="167"/>
      <c r="D46" s="167"/>
      <c r="E46" s="167"/>
      <c r="F46" s="670"/>
      <c r="G46" s="671"/>
      <c r="H46" s="672"/>
      <c r="I46" s="673"/>
    </row>
    <row r="47" spans="1:9" s="37" customFormat="1">
      <c r="A47" s="244"/>
      <c r="B47" s="245" t="s">
        <v>383</v>
      </c>
      <c r="C47" s="244"/>
      <c r="D47" s="244"/>
      <c r="E47" s="244"/>
      <c r="F47" s="661"/>
      <c r="G47" s="662"/>
      <c r="H47" s="663"/>
      <c r="I47" s="664"/>
    </row>
    <row r="48" spans="1:9" ht="49.5" customHeight="1">
      <c r="A48" s="244"/>
      <c r="B48" s="1031" t="s">
        <v>777</v>
      </c>
      <c r="C48" s="1031"/>
      <c r="D48" s="1031"/>
      <c r="E48" s="1068" t="s">
        <v>692</v>
      </c>
      <c r="F48" s="1068"/>
      <c r="G48" s="1068"/>
      <c r="H48" s="1068"/>
      <c r="I48" s="664">
        <f>I38*1.3</f>
        <v>10001.177364285715</v>
      </c>
    </row>
    <row r="49" spans="1:9">
      <c r="A49" s="244"/>
      <c r="B49" s="245"/>
      <c r="C49" s="244"/>
      <c r="D49" s="244"/>
      <c r="E49" s="244"/>
      <c r="F49" s="661"/>
      <c r="G49" s="662"/>
      <c r="H49" s="674"/>
      <c r="I49" s="664"/>
    </row>
    <row r="50" spans="1:9" s="9" customFormat="1" ht="43.5" customHeight="1">
      <c r="A50" s="636" t="str">
        <f>L_CViec!A156</f>
        <v>III</v>
      </c>
      <c r="B50" s="1065" t="str">
        <f>L_CViec!B156</f>
        <v>Đăng ký, cấp Giấy chứng nhận lần đầu đối với tổ chức, tổ chức tôn giáo, tổ chức tôn giáo trực thuộc đang sử dụng đất</v>
      </c>
      <c r="C50" s="1065"/>
      <c r="D50" s="1065"/>
      <c r="E50" s="638"/>
      <c r="F50" s="675"/>
      <c r="G50" s="638"/>
      <c r="H50" s="639"/>
      <c r="I50" s="667" t="s">
        <v>427</v>
      </c>
    </row>
    <row r="51" spans="1:9">
      <c r="A51" s="654">
        <v>1</v>
      </c>
      <c r="B51" s="655" t="s">
        <v>692</v>
      </c>
      <c r="C51" s="654"/>
      <c r="D51" s="654"/>
      <c r="E51" s="654"/>
      <c r="F51" s="657"/>
      <c r="G51" s="658"/>
      <c r="H51" s="676"/>
      <c r="I51" s="668">
        <f>SUM(I52:I57)</f>
        <v>8934.6747857142873</v>
      </c>
    </row>
    <row r="52" spans="1:9">
      <c r="A52" s="654"/>
      <c r="B52" s="677" t="str">
        <f>B60</f>
        <v>Máy vi tính</v>
      </c>
      <c r="C52" s="244" t="s">
        <v>323</v>
      </c>
      <c r="D52" s="678">
        <f>D60</f>
        <v>0.4</v>
      </c>
      <c r="E52" s="678">
        <f>E60</f>
        <v>7</v>
      </c>
      <c r="F52" s="679">
        <f>F60</f>
        <v>13127000</v>
      </c>
      <c r="G52" s="680">
        <f>G60</f>
        <v>3750.5714285714284</v>
      </c>
      <c r="H52" s="663">
        <v>0.753</v>
      </c>
      <c r="I52" s="664">
        <f>G52*H52</f>
        <v>2824.1802857142857</v>
      </c>
    </row>
    <row r="53" spans="1:9">
      <c r="A53" s="654"/>
      <c r="B53" s="677" t="str">
        <f t="shared" ref="B53:B58" si="2">B61</f>
        <v>Máy in laser A4</v>
      </c>
      <c r="C53" s="244" t="s">
        <v>323</v>
      </c>
      <c r="D53" s="678">
        <f t="shared" ref="D53:G58" si="3">D61</f>
        <v>0.6</v>
      </c>
      <c r="E53" s="678">
        <f t="shared" si="3"/>
        <v>8</v>
      </c>
      <c r="F53" s="679">
        <f t="shared" si="3"/>
        <v>4082000</v>
      </c>
      <c r="G53" s="680">
        <f t="shared" si="3"/>
        <v>1020.5</v>
      </c>
      <c r="H53" s="663">
        <v>6.0000000000000001E-3</v>
      </c>
      <c r="I53" s="664">
        <f t="shared" ref="I53:I58" si="4">G53*H53</f>
        <v>6.1230000000000002</v>
      </c>
    </row>
    <row r="54" spans="1:9">
      <c r="A54" s="654"/>
      <c r="B54" s="677" t="str">
        <f t="shared" si="2"/>
        <v>Máy in laser A3</v>
      </c>
      <c r="C54" s="244" t="s">
        <v>323</v>
      </c>
      <c r="D54" s="678">
        <f t="shared" si="3"/>
        <v>0.6</v>
      </c>
      <c r="E54" s="678">
        <f t="shared" si="3"/>
        <v>8</v>
      </c>
      <c r="F54" s="679">
        <f t="shared" si="3"/>
        <v>14445000</v>
      </c>
      <c r="G54" s="680">
        <f t="shared" si="3"/>
        <v>3611.25</v>
      </c>
      <c r="H54" s="663">
        <v>0.01</v>
      </c>
      <c r="I54" s="664">
        <f t="shared" si="4"/>
        <v>36.112500000000004</v>
      </c>
    </row>
    <row r="55" spans="1:9">
      <c r="A55" s="654"/>
      <c r="B55" s="677" t="str">
        <f t="shared" si="2"/>
        <v>Máy SCAN A3</v>
      </c>
      <c r="C55" s="244" t="s">
        <v>323</v>
      </c>
      <c r="D55" s="678">
        <f t="shared" si="3"/>
        <v>0.6</v>
      </c>
      <c r="E55" s="678">
        <f t="shared" si="3"/>
        <v>8</v>
      </c>
      <c r="F55" s="679">
        <f t="shared" si="3"/>
        <v>78082000</v>
      </c>
      <c r="G55" s="680">
        <f t="shared" si="3"/>
        <v>70200</v>
      </c>
      <c r="H55" s="663">
        <v>0.01</v>
      </c>
      <c r="I55" s="664">
        <f t="shared" si="4"/>
        <v>702</v>
      </c>
    </row>
    <row r="56" spans="1:9">
      <c r="A56" s="654"/>
      <c r="B56" s="677" t="str">
        <f t="shared" si="2"/>
        <v>Điều hòa nhiệt độ</v>
      </c>
      <c r="C56" s="244" t="s">
        <v>323</v>
      </c>
      <c r="D56" s="678">
        <f t="shared" si="3"/>
        <v>2.2000000000000002</v>
      </c>
      <c r="E56" s="678">
        <f t="shared" si="3"/>
        <v>8</v>
      </c>
      <c r="F56" s="679">
        <f t="shared" si="3"/>
        <v>9910000</v>
      </c>
      <c r="G56" s="680">
        <f t="shared" si="3"/>
        <v>19520.5</v>
      </c>
      <c r="H56" s="663">
        <v>0.27300000000000002</v>
      </c>
      <c r="I56" s="664">
        <f t="shared" si="4"/>
        <v>5329.0965000000006</v>
      </c>
    </row>
    <row r="57" spans="1:9">
      <c r="A57" s="654"/>
      <c r="B57" s="677" t="str">
        <f t="shared" si="2"/>
        <v>Máy photocopy</v>
      </c>
      <c r="C57" s="244" t="s">
        <v>323</v>
      </c>
      <c r="D57" s="678">
        <f t="shared" si="3"/>
        <v>1.5</v>
      </c>
      <c r="E57" s="678">
        <f t="shared" si="3"/>
        <v>8</v>
      </c>
      <c r="F57" s="679">
        <f t="shared" si="3"/>
        <v>179900000</v>
      </c>
      <c r="G57" s="680">
        <f t="shared" si="3"/>
        <v>2477.5</v>
      </c>
      <c r="H57" s="663">
        <v>1.4999999999999999E-2</v>
      </c>
      <c r="I57" s="664">
        <f t="shared" si="4"/>
        <v>37.162500000000001</v>
      </c>
    </row>
    <row r="58" spans="1:9">
      <c r="A58" s="654"/>
      <c r="B58" s="677" t="str">
        <f t="shared" si="2"/>
        <v>Điện năng</v>
      </c>
      <c r="C58" s="654" t="s">
        <v>338</v>
      </c>
      <c r="D58" s="678">
        <f t="shared" si="3"/>
        <v>0</v>
      </c>
      <c r="E58" s="678">
        <f t="shared" si="3"/>
        <v>1.05</v>
      </c>
      <c r="F58" s="657">
        <f t="shared" si="3"/>
        <v>2226</v>
      </c>
      <c r="G58" s="680">
        <f t="shared" si="3"/>
        <v>2337.3000000000002</v>
      </c>
      <c r="H58" s="663">
        <v>7.5149999999999997</v>
      </c>
      <c r="I58" s="668">
        <f t="shared" si="4"/>
        <v>17564.809499999999</v>
      </c>
    </row>
    <row r="59" spans="1:9">
      <c r="A59" s="654">
        <v>2</v>
      </c>
      <c r="B59" s="655" t="s">
        <v>321</v>
      </c>
      <c r="C59" s="654"/>
      <c r="D59" s="654"/>
      <c r="E59" s="654"/>
      <c r="F59" s="657"/>
      <c r="G59" s="658"/>
      <c r="H59" s="659"/>
      <c r="I59" s="668">
        <f>SUM(I60:I65)</f>
        <v>17864.5785</v>
      </c>
    </row>
    <row r="60" spans="1:9" s="37" customFormat="1">
      <c r="A60" s="244"/>
      <c r="B60" s="245" t="s">
        <v>367</v>
      </c>
      <c r="C60" s="244" t="s">
        <v>323</v>
      </c>
      <c r="D60" s="244">
        <v>0.4</v>
      </c>
      <c r="E60" s="244">
        <f>'Gia_Dcu-Tbi-Vlieu'!E$26</f>
        <v>7</v>
      </c>
      <c r="F60" s="661">
        <f>'Gia_Dcu-Tbi-Vlieu'!F$26</f>
        <v>13127000</v>
      </c>
      <c r="G60" s="662">
        <f>'Gia_Dcu-Tbi-Vlieu'!G$26</f>
        <v>3750.5714285714284</v>
      </c>
      <c r="H60" s="663">
        <v>1.5049999999999999</v>
      </c>
      <c r="I60" s="664">
        <f>G60*H60</f>
        <v>5644.61</v>
      </c>
    </row>
    <row r="61" spans="1:9">
      <c r="A61" s="244"/>
      <c r="B61" s="245" t="s">
        <v>340</v>
      </c>
      <c r="C61" s="244" t="s">
        <v>323</v>
      </c>
      <c r="D61" s="244">
        <v>0.6</v>
      </c>
      <c r="E61" s="244">
        <f>'Gia_Dcu-Tbi-Vlieu'!E$27</f>
        <v>8</v>
      </c>
      <c r="F61" s="661">
        <f>'Gia_Dcu-Tbi-Vlieu'!F$27</f>
        <v>4082000</v>
      </c>
      <c r="G61" s="662">
        <f>'Gia_Dcu-Tbi-Vlieu'!G$27</f>
        <v>1020.5</v>
      </c>
      <c r="H61" s="663">
        <v>1.0999999999999999E-2</v>
      </c>
      <c r="I61" s="664">
        <f t="shared" ref="I61:I66" si="5">G61*H61</f>
        <v>11.225499999999998</v>
      </c>
    </row>
    <row r="62" spans="1:9">
      <c r="A62" s="244"/>
      <c r="B62" s="245" t="s">
        <v>342</v>
      </c>
      <c r="C62" s="244" t="s">
        <v>323</v>
      </c>
      <c r="D62" s="244">
        <v>0.6</v>
      </c>
      <c r="E62" s="244">
        <f>'Gia_Dcu-Tbi-Vlieu'!E$28</f>
        <v>8</v>
      </c>
      <c r="F62" s="661">
        <f>'Gia_Dcu-Tbi-Vlieu'!F$28</f>
        <v>14445000</v>
      </c>
      <c r="G62" s="662">
        <f>'Gia_Dcu-Tbi-Vlieu'!G$28</f>
        <v>3611.25</v>
      </c>
      <c r="H62" s="663">
        <v>0.02</v>
      </c>
      <c r="I62" s="664">
        <f t="shared" si="5"/>
        <v>72.225000000000009</v>
      </c>
    </row>
    <row r="63" spans="1:9">
      <c r="A63" s="244"/>
      <c r="B63" s="245" t="s">
        <v>343</v>
      </c>
      <c r="C63" s="244" t="s">
        <v>323</v>
      </c>
      <c r="D63" s="244">
        <v>0.6</v>
      </c>
      <c r="E63" s="244">
        <f>'Gia_Dcu-Tbi-Vlieu'!E$29</f>
        <v>8</v>
      </c>
      <c r="F63" s="661">
        <f>'Gia_Dcu-Tbi-Vlieu'!F$30</f>
        <v>78082000</v>
      </c>
      <c r="G63" s="662">
        <f>'Gia_Dcu-Tbi-Vlieu'!G$29</f>
        <v>70200</v>
      </c>
      <c r="H63" s="663">
        <v>0.02</v>
      </c>
      <c r="I63" s="664">
        <f t="shared" si="5"/>
        <v>1404</v>
      </c>
    </row>
    <row r="64" spans="1:9">
      <c r="A64" s="244"/>
      <c r="B64" s="245" t="s">
        <v>368</v>
      </c>
      <c r="C64" s="244" t="s">
        <v>323</v>
      </c>
      <c r="D64" s="244">
        <v>2.2000000000000002</v>
      </c>
      <c r="E64" s="244">
        <f>'Gia_Dcu-Tbi-Vlieu'!E$30</f>
        <v>8</v>
      </c>
      <c r="F64" s="661">
        <f>'Gia_Dcu-Tbi-Vlieu'!F$31</f>
        <v>9910000</v>
      </c>
      <c r="G64" s="662">
        <f>'Gia_Dcu-Tbi-Vlieu'!G$30</f>
        <v>19520.5</v>
      </c>
      <c r="H64" s="663">
        <v>0.54600000000000004</v>
      </c>
      <c r="I64" s="664">
        <f t="shared" si="5"/>
        <v>10658.193000000001</v>
      </c>
    </row>
    <row r="65" spans="1:9">
      <c r="A65" s="244"/>
      <c r="B65" s="245" t="s">
        <v>42</v>
      </c>
      <c r="C65" s="244" t="s">
        <v>323</v>
      </c>
      <c r="D65" s="244">
        <v>1.5</v>
      </c>
      <c r="E65" s="244">
        <f>'Gia_Dcu-Tbi-Vlieu'!E$31</f>
        <v>8</v>
      </c>
      <c r="F65" s="661">
        <f>'Gia_Dcu-Tbi-Vlieu'!F$32</f>
        <v>179900000</v>
      </c>
      <c r="G65" s="662">
        <f>'Gia_Dcu-Tbi-Vlieu'!G$31</f>
        <v>2477.5</v>
      </c>
      <c r="H65" s="663">
        <v>0.03</v>
      </c>
      <c r="I65" s="664">
        <f t="shared" si="5"/>
        <v>74.325000000000003</v>
      </c>
    </row>
    <row r="66" spans="1:9" s="37" customFormat="1">
      <c r="A66" s="654"/>
      <c r="B66" s="655" t="s">
        <v>17</v>
      </c>
      <c r="C66" s="654" t="s">
        <v>338</v>
      </c>
      <c r="D66" s="654"/>
      <c r="E66" s="656">
        <f>'Gia_Dcu-Tbi-Vlieu'!E$35</f>
        <v>1.05</v>
      </c>
      <c r="F66" s="657">
        <f>'Gia_Dcu-Tbi-Vlieu'!F$35</f>
        <v>2226</v>
      </c>
      <c r="G66" s="658">
        <f>'Gia_Dcu-Tbi-Vlieu'!G$35</f>
        <v>2337.3000000000002</v>
      </c>
      <c r="H66" s="659">
        <v>15.03</v>
      </c>
      <c r="I66" s="668">
        <f t="shared" si="5"/>
        <v>35129.618999999999</v>
      </c>
    </row>
    <row r="67" spans="1:9">
      <c r="A67" s="244"/>
      <c r="B67" s="257" t="s">
        <v>294</v>
      </c>
      <c r="C67" s="244"/>
      <c r="D67" s="244"/>
      <c r="E67" s="244"/>
      <c r="F67" s="661"/>
      <c r="G67" s="662"/>
      <c r="H67" s="674"/>
      <c r="I67" s="664"/>
    </row>
    <row r="68" spans="1:9">
      <c r="A68" s="244"/>
      <c r="B68" s="245" t="s">
        <v>402</v>
      </c>
      <c r="C68" s="244"/>
      <c r="D68" s="244"/>
      <c r="E68" s="244"/>
      <c r="F68" s="661"/>
      <c r="G68" s="662"/>
      <c r="H68" s="674"/>
      <c r="I68" s="664"/>
    </row>
    <row r="69" spans="1:9" ht="62">
      <c r="A69" s="244"/>
      <c r="B69" s="245" t="s">
        <v>778</v>
      </c>
      <c r="C69" s="244"/>
      <c r="D69" s="244"/>
      <c r="E69" s="244"/>
      <c r="F69" s="661"/>
      <c r="G69" s="662"/>
      <c r="H69" s="674"/>
      <c r="I69" s="664"/>
    </row>
    <row r="70" spans="1:9" s="9" customFormat="1" ht="30" customHeight="1">
      <c r="A70" s="636" t="str">
        <f>L_CViec!A202</f>
        <v>IV</v>
      </c>
      <c r="B70" s="1065" t="str">
        <f>L_CViec!B202</f>
        <v>Đăng ký, cấp đổi Giấy chứng nhận đồng loạt tại xã, phường</v>
      </c>
      <c r="C70" s="1065"/>
      <c r="D70" s="1065"/>
      <c r="E70" s="638"/>
      <c r="F70" s="675"/>
      <c r="G70" s="638"/>
      <c r="H70" s="639"/>
      <c r="I70" s="667" t="s">
        <v>779</v>
      </c>
    </row>
    <row r="71" spans="1:9" s="37" customFormat="1">
      <c r="A71" s="681">
        <v>1</v>
      </c>
      <c r="B71" s="682" t="s">
        <v>692</v>
      </c>
      <c r="C71" s="654"/>
      <c r="D71" s="654"/>
      <c r="E71" s="654"/>
      <c r="F71" s="657"/>
      <c r="G71" s="658"/>
      <c r="H71" s="659"/>
      <c r="I71" s="668">
        <f>SUM(I72:I78)</f>
        <v>5978.3550000000005</v>
      </c>
    </row>
    <row r="72" spans="1:9">
      <c r="A72" s="244"/>
      <c r="B72" s="245" t="s">
        <v>367</v>
      </c>
      <c r="C72" s="244" t="s">
        <v>323</v>
      </c>
      <c r="D72" s="244">
        <v>0.4</v>
      </c>
      <c r="E72" s="244">
        <f>'Gia_Dcu-Tbi-Vlieu'!E$26</f>
        <v>7</v>
      </c>
      <c r="F72" s="661">
        <f>'Gia_Dcu-Tbi-Vlieu'!F$26</f>
        <v>13127000</v>
      </c>
      <c r="G72" s="662">
        <f>'Gia_Dcu-Tbi-Vlieu'!G$26</f>
        <v>3750.5714285714284</v>
      </c>
      <c r="H72" s="663">
        <v>0.29399999999999998</v>
      </c>
      <c r="I72" s="664">
        <f t="shared" ref="I72:I79" si="6">G72*H72</f>
        <v>1102.6679999999999</v>
      </c>
    </row>
    <row r="73" spans="1:9">
      <c r="A73" s="244"/>
      <c r="B73" s="245" t="s">
        <v>340</v>
      </c>
      <c r="C73" s="244" t="s">
        <v>323</v>
      </c>
      <c r="D73" s="244">
        <v>0.6</v>
      </c>
      <c r="E73" s="244">
        <f>'Gia_Dcu-Tbi-Vlieu'!E$27</f>
        <v>8</v>
      </c>
      <c r="F73" s="661">
        <f>'Gia_Dcu-Tbi-Vlieu'!F$27</f>
        <v>4082000</v>
      </c>
      <c r="G73" s="662">
        <f>'Gia_Dcu-Tbi-Vlieu'!G$27</f>
        <v>1020.5</v>
      </c>
      <c r="H73" s="663">
        <v>8.9999999999999993E-3</v>
      </c>
      <c r="I73" s="664">
        <f t="shared" si="6"/>
        <v>9.1844999999999999</v>
      </c>
    </row>
    <row r="74" spans="1:9">
      <c r="A74" s="244"/>
      <c r="B74" s="245" t="s">
        <v>342</v>
      </c>
      <c r="C74" s="244" t="s">
        <v>323</v>
      </c>
      <c r="D74" s="244">
        <v>0.6</v>
      </c>
      <c r="E74" s="244">
        <f>'Gia_Dcu-Tbi-Vlieu'!E$28</f>
        <v>8</v>
      </c>
      <c r="F74" s="661">
        <f>'Gia_Dcu-Tbi-Vlieu'!F$28</f>
        <v>14445000</v>
      </c>
      <c r="G74" s="662">
        <f>'Gia_Dcu-Tbi-Vlieu'!G$28</f>
        <v>3611.25</v>
      </c>
      <c r="H74" s="663">
        <v>0.04</v>
      </c>
      <c r="I74" s="664">
        <f t="shared" si="6"/>
        <v>144.45000000000002</v>
      </c>
    </row>
    <row r="75" spans="1:9">
      <c r="A75" s="244"/>
      <c r="B75" s="245" t="s">
        <v>343</v>
      </c>
      <c r="C75" s="244" t="s">
        <v>323</v>
      </c>
      <c r="D75" s="244">
        <v>0.6</v>
      </c>
      <c r="E75" s="244">
        <f>'Gia_Dcu-Tbi-Vlieu'!E$29</f>
        <v>8</v>
      </c>
      <c r="F75" s="661">
        <f>'Gia_Dcu-Tbi-Vlieu'!F$30</f>
        <v>78082000</v>
      </c>
      <c r="G75" s="662">
        <f>'Gia_Dcu-Tbi-Vlieu'!G$29</f>
        <v>70200</v>
      </c>
      <c r="H75" s="663">
        <v>0.04</v>
      </c>
      <c r="I75" s="664">
        <f t="shared" si="6"/>
        <v>2808</v>
      </c>
    </row>
    <row r="76" spans="1:9" s="5" customFormat="1">
      <c r="A76" s="244"/>
      <c r="B76" s="245" t="s">
        <v>368</v>
      </c>
      <c r="C76" s="244" t="s">
        <v>323</v>
      </c>
      <c r="D76" s="244">
        <v>2.2000000000000002</v>
      </c>
      <c r="E76" s="244">
        <f>'Gia_Dcu-Tbi-Vlieu'!E$30</f>
        <v>8</v>
      </c>
      <c r="F76" s="661">
        <f>'Gia_Dcu-Tbi-Vlieu'!F$31</f>
        <v>9910000</v>
      </c>
      <c r="G76" s="662">
        <f>'Gia_Dcu-Tbi-Vlieu'!G$30</f>
        <v>19520.5</v>
      </c>
      <c r="H76" s="663">
        <v>0.09</v>
      </c>
      <c r="I76" s="664">
        <f t="shared" si="6"/>
        <v>1756.845</v>
      </c>
    </row>
    <row r="77" spans="1:9" s="37" customFormat="1">
      <c r="A77" s="244"/>
      <c r="B77" s="245" t="s">
        <v>391</v>
      </c>
      <c r="C77" s="244" t="s">
        <v>323</v>
      </c>
      <c r="D77" s="244">
        <v>1.5</v>
      </c>
      <c r="E77" s="244">
        <f>'Gia_Dcu-Tbi-Vlieu'!E$31</f>
        <v>8</v>
      </c>
      <c r="F77" s="661">
        <f>'Gia_Dcu-Tbi-Vlieu'!F$31</f>
        <v>9910000</v>
      </c>
      <c r="G77" s="662">
        <f>'Gia_Dcu-Tbi-Vlieu'!G$31</f>
        <v>2477.5</v>
      </c>
      <c r="H77" s="663">
        <v>1.2999999999999999E-2</v>
      </c>
      <c r="I77" s="664">
        <f t="shared" si="6"/>
        <v>32.207499999999996</v>
      </c>
    </row>
    <row r="78" spans="1:9" s="37" customFormat="1">
      <c r="A78" s="244"/>
      <c r="B78" s="245" t="s">
        <v>341</v>
      </c>
      <c r="C78" s="244"/>
      <c r="D78" s="244">
        <v>1.5</v>
      </c>
      <c r="E78" s="244">
        <v>8</v>
      </c>
      <c r="F78" s="661">
        <f>'Gia_Dcu-Tbi-Vlieu'!F33</f>
        <v>500000000</v>
      </c>
      <c r="G78" s="662">
        <f>'Gia_Dcu-Tbi-Vlieu'!G33</f>
        <v>125000</v>
      </c>
      <c r="H78" s="663">
        <v>1E-3</v>
      </c>
      <c r="I78" s="664">
        <f t="shared" si="6"/>
        <v>125</v>
      </c>
    </row>
    <row r="79" spans="1:9" s="37" customFormat="1">
      <c r="A79" s="654"/>
      <c r="B79" s="655" t="s">
        <v>17</v>
      </c>
      <c r="C79" s="654" t="s">
        <v>338</v>
      </c>
      <c r="D79" s="654"/>
      <c r="E79" s="656">
        <f>'Gia_Dcu-Tbi-Vlieu'!E$35</f>
        <v>1.05</v>
      </c>
      <c r="F79" s="657">
        <f>'Gia_Dcu-Tbi-Vlieu'!F$35</f>
        <v>2226</v>
      </c>
      <c r="G79" s="658">
        <f>'Gia_Dcu-Tbi-Vlieu'!G$35</f>
        <v>2337.3000000000002</v>
      </c>
      <c r="H79" s="663">
        <v>3.109</v>
      </c>
      <c r="I79" s="668">
        <f t="shared" si="6"/>
        <v>7266.6657000000005</v>
      </c>
    </row>
    <row r="80" spans="1:9" s="37" customFormat="1">
      <c r="A80" s="681">
        <v>2</v>
      </c>
      <c r="B80" s="682" t="s">
        <v>321</v>
      </c>
      <c r="C80" s="654"/>
      <c r="D80" s="654"/>
      <c r="E80" s="654"/>
      <c r="F80" s="657"/>
      <c r="G80" s="658"/>
      <c r="H80" s="659"/>
      <c r="I80" s="668">
        <f>SUM(I81:I85)</f>
        <v>2041.4444285714285</v>
      </c>
    </row>
    <row r="81" spans="1:9">
      <c r="A81" s="244"/>
      <c r="B81" s="245" t="s">
        <v>367</v>
      </c>
      <c r="C81" s="244" t="s">
        <v>323</v>
      </c>
      <c r="D81" s="244">
        <v>0.4</v>
      </c>
      <c r="E81" s="244">
        <f>'Gia_Dcu-Tbi-Vlieu'!E$26</f>
        <v>7</v>
      </c>
      <c r="F81" s="661">
        <f>'Gia_Dcu-Tbi-Vlieu'!F$26</f>
        <v>13127000</v>
      </c>
      <c r="G81" s="662">
        <f>'Gia_Dcu-Tbi-Vlieu'!G$26</f>
        <v>3750.5714285714284</v>
      </c>
      <c r="H81" s="663">
        <v>0.20200000000000001</v>
      </c>
      <c r="I81" s="664">
        <f t="shared" ref="I81:I86" si="7">G81*H81</f>
        <v>757.61542857142854</v>
      </c>
    </row>
    <row r="82" spans="1:9">
      <c r="A82" s="244"/>
      <c r="B82" s="245" t="s">
        <v>340</v>
      </c>
      <c r="C82" s="244" t="s">
        <v>323</v>
      </c>
      <c r="D82" s="244">
        <v>0.6</v>
      </c>
      <c r="E82" s="244">
        <f>'Gia_Dcu-Tbi-Vlieu'!E$27</f>
        <v>8</v>
      </c>
      <c r="F82" s="661">
        <f>'Gia_Dcu-Tbi-Vlieu'!F$27</f>
        <v>4082000</v>
      </c>
      <c r="G82" s="662">
        <f>'Gia_Dcu-Tbi-Vlieu'!G$27</f>
        <v>1020.5</v>
      </c>
      <c r="H82" s="663">
        <v>8.0000000000000002E-3</v>
      </c>
      <c r="I82" s="664">
        <f t="shared" si="7"/>
        <v>8.1639999999999997</v>
      </c>
    </row>
    <row r="83" spans="1:9">
      <c r="A83" s="244"/>
      <c r="B83" s="245" t="s">
        <v>368</v>
      </c>
      <c r="C83" s="244" t="s">
        <v>323</v>
      </c>
      <c r="D83" s="244">
        <v>2.2000000000000002</v>
      </c>
      <c r="E83" s="244">
        <f>'Gia_Dcu-Tbi-Vlieu'!E$30</f>
        <v>8</v>
      </c>
      <c r="F83" s="661">
        <f>'Gia_Dcu-Tbi-Vlieu'!F$31</f>
        <v>9910000</v>
      </c>
      <c r="G83" s="662">
        <f>'Gia_Dcu-Tbi-Vlieu'!G$30</f>
        <v>19520.5</v>
      </c>
      <c r="H83" s="663">
        <v>6.0999999999999999E-2</v>
      </c>
      <c r="I83" s="664">
        <f t="shared" si="7"/>
        <v>1190.7504999999999</v>
      </c>
    </row>
    <row r="84" spans="1:9">
      <c r="A84" s="244"/>
      <c r="B84" s="245" t="s">
        <v>42</v>
      </c>
      <c r="C84" s="244" t="s">
        <v>323</v>
      </c>
      <c r="D84" s="244">
        <v>1.5</v>
      </c>
      <c r="E84" s="244">
        <f>'Gia_Dcu-Tbi-Vlieu'!E$31</f>
        <v>8</v>
      </c>
      <c r="F84" s="661">
        <f>'Gia_Dcu-Tbi-Vlieu'!F$32</f>
        <v>179900000</v>
      </c>
      <c r="G84" s="662">
        <f>'Gia_Dcu-Tbi-Vlieu'!G$31</f>
        <v>2477.5</v>
      </c>
      <c r="H84" s="663">
        <v>2.4E-2</v>
      </c>
      <c r="I84" s="664">
        <f t="shared" si="7"/>
        <v>59.46</v>
      </c>
    </row>
    <row r="85" spans="1:9">
      <c r="A85" s="244"/>
      <c r="B85" s="245" t="s">
        <v>369</v>
      </c>
      <c r="C85" s="244" t="s">
        <v>323</v>
      </c>
      <c r="D85" s="244">
        <v>0.4</v>
      </c>
      <c r="E85" s="244">
        <f>'Gia_Dcu-Tbi-Vlieu'!E$34</f>
        <v>8</v>
      </c>
      <c r="F85" s="661">
        <f>'Gia_Dcu-Tbi-Vlieu'!F$34</f>
        <v>101818000</v>
      </c>
      <c r="G85" s="662">
        <f>'Gia_Dcu-Tbi-Vlieu'!G$34</f>
        <v>25454.5</v>
      </c>
      <c r="H85" s="663">
        <v>1E-3</v>
      </c>
      <c r="I85" s="664">
        <f t="shared" si="7"/>
        <v>25.454499999999999</v>
      </c>
    </row>
    <row r="86" spans="1:9" s="37" customFormat="1">
      <c r="A86" s="654"/>
      <c r="B86" s="655" t="s">
        <v>17</v>
      </c>
      <c r="C86" s="654" t="s">
        <v>338</v>
      </c>
      <c r="D86" s="654"/>
      <c r="E86" s="656">
        <f>'Gia_Dcu-Tbi-Vlieu'!E$35</f>
        <v>1.05</v>
      </c>
      <c r="F86" s="657">
        <f>'Gia_Dcu-Tbi-Vlieu'!F$35</f>
        <v>2226</v>
      </c>
      <c r="G86" s="658">
        <f>'Gia_Dcu-Tbi-Vlieu'!G$35</f>
        <v>2337.3000000000002</v>
      </c>
      <c r="H86" s="663">
        <v>2.0459999999999998</v>
      </c>
      <c r="I86" s="668">
        <f t="shared" si="7"/>
        <v>4782.1157999999996</v>
      </c>
    </row>
    <row r="87" spans="1:9">
      <c r="A87" s="244"/>
      <c r="B87" s="257" t="s">
        <v>294</v>
      </c>
      <c r="C87" s="244"/>
      <c r="D87" s="244"/>
      <c r="E87" s="244"/>
      <c r="F87" s="661"/>
      <c r="G87" s="662"/>
      <c r="H87" s="663"/>
      <c r="I87" s="664"/>
    </row>
    <row r="88" spans="1:9" ht="27.75" customHeight="1">
      <c r="A88" s="244"/>
      <c r="B88" s="1021" t="s">
        <v>780</v>
      </c>
      <c r="C88" s="1021"/>
      <c r="D88" s="1021"/>
      <c r="E88" s="1070" t="s">
        <v>692</v>
      </c>
      <c r="F88" s="1070"/>
      <c r="G88" s="1070"/>
      <c r="H88" s="663">
        <v>1.3</v>
      </c>
      <c r="I88" s="664">
        <f>H88*I71</f>
        <v>7771.8615000000009</v>
      </c>
    </row>
    <row r="89" spans="1:9" ht="27.75" hidden="1" customHeight="1">
      <c r="A89" s="244"/>
      <c r="B89" s="1021"/>
      <c r="C89" s="1021"/>
      <c r="D89" s="1021"/>
      <c r="E89" s="1070"/>
      <c r="F89" s="1070"/>
      <c r="G89" s="1070"/>
      <c r="H89" s="663"/>
      <c r="I89" s="664"/>
    </row>
    <row r="90" spans="1:9" ht="53.25" customHeight="1">
      <c r="A90" s="244"/>
      <c r="B90" s="1021"/>
      <c r="C90" s="1021"/>
      <c r="D90" s="1021"/>
      <c r="E90" s="1070" t="s">
        <v>321</v>
      </c>
      <c r="F90" s="1070"/>
      <c r="G90" s="1070"/>
      <c r="H90" s="663">
        <v>1.3</v>
      </c>
      <c r="I90" s="664">
        <f>H90*I$80</f>
        <v>2653.8777571428573</v>
      </c>
    </row>
    <row r="91" spans="1:9" ht="45.75" customHeight="1">
      <c r="A91" s="244"/>
      <c r="B91" s="1071" t="s">
        <v>781</v>
      </c>
      <c r="C91" s="1071"/>
      <c r="D91" s="1071"/>
      <c r="E91" s="244"/>
      <c r="F91" s="661"/>
      <c r="G91" s="662"/>
      <c r="H91" s="663"/>
      <c r="I91" s="664"/>
    </row>
    <row r="92" spans="1:9" ht="25.5" customHeight="1">
      <c r="A92" s="244"/>
      <c r="B92" s="1021" t="s">
        <v>782</v>
      </c>
      <c r="C92" s="1021"/>
      <c r="D92" s="1021"/>
      <c r="E92" s="1070" t="s">
        <v>692</v>
      </c>
      <c r="F92" s="1070"/>
      <c r="G92" s="1070"/>
      <c r="H92" s="663">
        <v>0.2</v>
      </c>
      <c r="I92" s="664">
        <f>H92*I71</f>
        <v>1195.671</v>
      </c>
    </row>
    <row r="93" spans="1:9" ht="25.5" customHeight="1">
      <c r="A93" s="244"/>
      <c r="B93" s="1021"/>
      <c r="C93" s="1021"/>
      <c r="D93" s="1021"/>
      <c r="E93" s="1070" t="s">
        <v>321</v>
      </c>
      <c r="F93" s="1070"/>
      <c r="G93" s="1070"/>
      <c r="H93" s="663">
        <v>0.3</v>
      </c>
      <c r="I93" s="664">
        <f>H93*I80</f>
        <v>612.43332857142855</v>
      </c>
    </row>
    <row r="94" spans="1:9" ht="25.5" hidden="1" customHeight="1">
      <c r="A94" s="244"/>
      <c r="B94" s="1021"/>
      <c r="C94" s="1021"/>
      <c r="D94" s="1021"/>
      <c r="E94" s="1070"/>
      <c r="F94" s="1070"/>
      <c r="G94" s="1070"/>
      <c r="H94" s="663"/>
      <c r="I94" s="664">
        <f>H94*I$80</f>
        <v>0</v>
      </c>
    </row>
    <row r="95" spans="1:9" s="37" customFormat="1">
      <c r="A95" s="244"/>
      <c r="B95" s="1021" t="s">
        <v>783</v>
      </c>
      <c r="C95" s="1021"/>
      <c r="D95" s="1021"/>
      <c r="E95" s="1070"/>
      <c r="F95" s="1070"/>
      <c r="G95" s="1070"/>
      <c r="H95" s="663"/>
      <c r="I95" s="664"/>
    </row>
    <row r="96" spans="1:9">
      <c r="A96" s="244"/>
      <c r="B96" s="1021"/>
      <c r="C96" s="1021"/>
      <c r="D96" s="1021"/>
      <c r="E96" s="1070" t="s">
        <v>692</v>
      </c>
      <c r="F96" s="1070"/>
      <c r="G96" s="1070"/>
      <c r="H96" s="663">
        <v>0.9</v>
      </c>
      <c r="I96" s="664">
        <f>H96*I$71</f>
        <v>5380.5195000000003</v>
      </c>
    </row>
    <row r="97" spans="1:9">
      <c r="A97" s="244"/>
      <c r="B97" s="1021"/>
      <c r="C97" s="1021"/>
      <c r="D97" s="1021"/>
      <c r="E97" s="1070" t="s">
        <v>321</v>
      </c>
      <c r="F97" s="1070"/>
      <c r="G97" s="1070"/>
      <c r="H97" s="663">
        <v>0.9</v>
      </c>
      <c r="I97" s="664">
        <f>H97*I$80</f>
        <v>1837.2999857142856</v>
      </c>
    </row>
    <row r="98" spans="1:9">
      <c r="A98" s="244"/>
      <c r="B98" s="245"/>
      <c r="C98" s="244"/>
      <c r="D98" s="244"/>
      <c r="E98" s="244"/>
      <c r="F98" s="661"/>
      <c r="G98" s="662"/>
      <c r="H98" s="674"/>
      <c r="I98" s="664"/>
    </row>
    <row r="99" spans="1:9" s="9" customFormat="1" ht="30" customHeight="1">
      <c r="A99" s="636" t="str">
        <f>L_CViec!A268</f>
        <v>V</v>
      </c>
      <c r="B99" s="1065" t="str">
        <f>L_CViec!B268</f>
        <v>Đăng ký, cấp đổi, cấp lại Giấy chứng nhận riêng lẻ đối với hộ gia đình, cá nhân, cộng đồng dân cư, người gốc Việt Nam định cư ở nước ngoài</v>
      </c>
      <c r="C99" s="1065"/>
      <c r="D99" s="1065"/>
      <c r="E99" s="638"/>
      <c r="F99" s="675"/>
      <c r="G99" s="638"/>
      <c r="H99" s="639"/>
      <c r="I99" s="667" t="s">
        <v>784</v>
      </c>
    </row>
    <row r="100" spans="1:9" s="37" customFormat="1">
      <c r="A100" s="654">
        <v>1</v>
      </c>
      <c r="B100" s="655" t="s">
        <v>692</v>
      </c>
      <c r="C100" s="654"/>
      <c r="D100" s="654"/>
      <c r="E100" s="654"/>
      <c r="F100" s="657"/>
      <c r="G100" s="658"/>
      <c r="H100" s="659"/>
      <c r="I100" s="668">
        <f>SUM(I101:I106)</f>
        <v>12104.866857142857</v>
      </c>
    </row>
    <row r="101" spans="1:9">
      <c r="A101" s="244"/>
      <c r="B101" s="245" t="s">
        <v>367</v>
      </c>
      <c r="C101" s="244" t="s">
        <v>323</v>
      </c>
      <c r="D101" s="244">
        <v>0.4</v>
      </c>
      <c r="E101" s="244">
        <f>'Gia_Dcu-Tbi-Vlieu'!E$26</f>
        <v>7</v>
      </c>
      <c r="F101" s="661">
        <f>'Gia_Dcu-Tbi-Vlieu'!F$26</f>
        <v>13127000</v>
      </c>
      <c r="G101" s="662">
        <f>'Gia_Dcu-Tbi-Vlieu'!G$26</f>
        <v>3750.5714285714284</v>
      </c>
      <c r="H101" s="663">
        <v>1.02</v>
      </c>
      <c r="I101" s="664">
        <f t="shared" ref="I101:I107" si="8">G101*H101</f>
        <v>3825.5828571428569</v>
      </c>
    </row>
    <row r="102" spans="1:9">
      <c r="A102" s="244"/>
      <c r="B102" s="245" t="s">
        <v>340</v>
      </c>
      <c r="C102" s="244" t="s">
        <v>323</v>
      </c>
      <c r="D102" s="244">
        <v>0.6</v>
      </c>
      <c r="E102" s="244">
        <f>'Gia_Dcu-Tbi-Vlieu'!E$27</f>
        <v>8</v>
      </c>
      <c r="F102" s="661">
        <f>'Gia_Dcu-Tbi-Vlieu'!F$27</f>
        <v>4082000</v>
      </c>
      <c r="G102" s="662">
        <f>'Gia_Dcu-Tbi-Vlieu'!G$27</f>
        <v>1020.5</v>
      </c>
      <c r="H102" s="663">
        <v>1.7000000000000001E-2</v>
      </c>
      <c r="I102" s="664">
        <f t="shared" si="8"/>
        <v>17.348500000000001</v>
      </c>
    </row>
    <row r="103" spans="1:9">
      <c r="A103" s="244"/>
      <c r="B103" s="245" t="s">
        <v>342</v>
      </c>
      <c r="C103" s="244" t="s">
        <v>323</v>
      </c>
      <c r="D103" s="244">
        <v>0.6</v>
      </c>
      <c r="E103" s="244">
        <f>'Gia_Dcu-Tbi-Vlieu'!E$28</f>
        <v>8</v>
      </c>
      <c r="F103" s="661">
        <f>'Gia_Dcu-Tbi-Vlieu'!F$28</f>
        <v>14445000</v>
      </c>
      <c r="G103" s="662">
        <f>'Gia_Dcu-Tbi-Vlieu'!G$28</f>
        <v>3611.25</v>
      </c>
      <c r="H103" s="663">
        <v>0.03</v>
      </c>
      <c r="I103" s="664">
        <f t="shared" si="8"/>
        <v>108.33749999999999</v>
      </c>
    </row>
    <row r="104" spans="1:9">
      <c r="A104" s="244"/>
      <c r="B104" s="245" t="s">
        <v>343</v>
      </c>
      <c r="C104" s="244" t="s">
        <v>323</v>
      </c>
      <c r="D104" s="244">
        <v>0.6</v>
      </c>
      <c r="E104" s="244">
        <f>'Gia_Dcu-Tbi-Vlieu'!E$29</f>
        <v>8</v>
      </c>
      <c r="F104" s="661">
        <f>'Gia_Dcu-Tbi-Vlieu'!F$30</f>
        <v>78082000</v>
      </c>
      <c r="G104" s="662">
        <f>'Gia_Dcu-Tbi-Vlieu'!G$29</f>
        <v>70200</v>
      </c>
      <c r="H104" s="663">
        <v>0.03</v>
      </c>
      <c r="I104" s="664">
        <f t="shared" si="8"/>
        <v>2106</v>
      </c>
    </row>
    <row r="105" spans="1:9" s="5" customFormat="1">
      <c r="A105" s="244"/>
      <c r="B105" s="245" t="s">
        <v>368</v>
      </c>
      <c r="C105" s="244" t="s">
        <v>323</v>
      </c>
      <c r="D105" s="244">
        <v>2.2000000000000002</v>
      </c>
      <c r="E105" s="244">
        <f>'Gia_Dcu-Tbi-Vlieu'!E$30</f>
        <v>8</v>
      </c>
      <c r="F105" s="661">
        <f>'Gia_Dcu-Tbi-Vlieu'!F$31</f>
        <v>9910000</v>
      </c>
      <c r="G105" s="662">
        <f>'Gia_Dcu-Tbi-Vlieu'!G$30</f>
        <v>19520.5</v>
      </c>
      <c r="H105" s="663">
        <v>0.30599999999999999</v>
      </c>
      <c r="I105" s="664">
        <f t="shared" si="8"/>
        <v>5973.2730000000001</v>
      </c>
    </row>
    <row r="106" spans="1:9" s="37" customFormat="1">
      <c r="A106" s="244"/>
      <c r="B106" s="245" t="s">
        <v>42</v>
      </c>
      <c r="C106" s="244" t="s">
        <v>323</v>
      </c>
      <c r="D106" s="244">
        <v>1.5</v>
      </c>
      <c r="E106" s="244">
        <f>'Gia_Dcu-Tbi-Vlieu'!E$31</f>
        <v>8</v>
      </c>
      <c r="F106" s="661">
        <f>'Gia_Dcu-Tbi-Vlieu'!F$32</f>
        <v>179900000</v>
      </c>
      <c r="G106" s="662">
        <f>'Gia_Dcu-Tbi-Vlieu'!G$31</f>
        <v>2477.5</v>
      </c>
      <c r="H106" s="663">
        <v>0.03</v>
      </c>
      <c r="I106" s="664">
        <f t="shared" si="8"/>
        <v>74.325000000000003</v>
      </c>
    </row>
    <row r="107" spans="1:9" s="37" customFormat="1">
      <c r="A107" s="654"/>
      <c r="B107" s="655" t="s">
        <v>17</v>
      </c>
      <c r="C107" s="654" t="s">
        <v>338</v>
      </c>
      <c r="D107" s="654"/>
      <c r="E107" s="656">
        <f>'Gia_Dcu-Tbi-Vlieu'!E$35</f>
        <v>1.05</v>
      </c>
      <c r="F107" s="657">
        <f>'Gia_Dcu-Tbi-Vlieu'!F$35</f>
        <v>2226</v>
      </c>
      <c r="G107" s="658">
        <f>'Gia_Dcu-Tbi-Vlieu'!G$35</f>
        <v>2337.3000000000002</v>
      </c>
      <c r="H107" s="663">
        <v>9.3770000000000007</v>
      </c>
      <c r="I107" s="668">
        <f t="shared" si="8"/>
        <v>21916.862100000002</v>
      </c>
    </row>
    <row r="108" spans="1:9" s="37" customFormat="1">
      <c r="A108" s="654">
        <v>2</v>
      </c>
      <c r="B108" s="655" t="s">
        <v>321</v>
      </c>
      <c r="C108" s="654"/>
      <c r="D108" s="654"/>
      <c r="E108" s="654"/>
      <c r="F108" s="657"/>
      <c r="G108" s="658"/>
      <c r="H108" s="659"/>
      <c r="I108" s="668"/>
    </row>
    <row r="109" spans="1:9">
      <c r="A109" s="244"/>
      <c r="B109" s="257" t="s">
        <v>294</v>
      </c>
      <c r="C109" s="244"/>
      <c r="D109" s="244"/>
      <c r="E109" s="244"/>
      <c r="F109" s="661"/>
      <c r="G109" s="662"/>
      <c r="H109" s="663"/>
      <c r="I109" s="664"/>
    </row>
    <row r="110" spans="1:9">
      <c r="A110" s="244"/>
      <c r="B110" s="819" t="s">
        <v>402</v>
      </c>
      <c r="C110" s="244"/>
      <c r="D110" s="244"/>
      <c r="E110" s="244"/>
      <c r="F110" s="661"/>
      <c r="G110" s="662"/>
      <c r="H110" s="663"/>
      <c r="I110" s="664"/>
    </row>
    <row r="111" spans="1:9" ht="48" customHeight="1">
      <c r="A111" s="244"/>
      <c r="B111" s="1021" t="s">
        <v>785</v>
      </c>
      <c r="C111" s="1021"/>
      <c r="D111" s="1021"/>
      <c r="E111" s="1072" t="s">
        <v>692</v>
      </c>
      <c r="F111" s="1072"/>
      <c r="G111" s="1072"/>
      <c r="H111" s="663">
        <v>1.3</v>
      </c>
      <c r="I111" s="664">
        <f>H111*I100</f>
        <v>15736.326914285715</v>
      </c>
    </row>
    <row r="112" spans="1:9">
      <c r="A112" s="244"/>
      <c r="B112" s="245"/>
      <c r="C112" s="244"/>
      <c r="D112" s="244"/>
      <c r="E112" s="244"/>
      <c r="F112" s="661"/>
      <c r="G112" s="662"/>
      <c r="H112" s="674"/>
      <c r="I112" s="664"/>
    </row>
    <row r="113" spans="1:9" s="9" customFormat="1" ht="30" customHeight="1">
      <c r="A113" s="683" t="str">
        <f>L_CViec!A325</f>
        <v>VI</v>
      </c>
      <c r="B113" s="1065" t="str">
        <f>L_CViec!B325</f>
        <v>Đăng ký, cấp đổi, cấp lại Giấy chứng nhận riêng lẻ đối với tổ chức, tổ chức tôn giáo, tổ chức tôn giáo trực thuộc, tổ chức nước ngoài có chức năng ngoại giao, tổ chức kinh tế có vốn đầu tư nước ngoài, tổ chức nước ngoài, cá nhân nước ngoài</v>
      </c>
      <c r="C113" s="1065"/>
      <c r="D113" s="1065"/>
      <c r="E113" s="675"/>
      <c r="F113" s="638"/>
      <c r="G113" s="638"/>
      <c r="H113" s="639"/>
      <c r="I113" s="667" t="s">
        <v>786</v>
      </c>
    </row>
    <row r="114" spans="1:9">
      <c r="A114" s="654">
        <v>1</v>
      </c>
      <c r="B114" s="655" t="s">
        <v>321</v>
      </c>
      <c r="C114" s="654"/>
      <c r="D114" s="654"/>
      <c r="E114" s="654"/>
      <c r="F114" s="657"/>
      <c r="G114" s="658"/>
      <c r="H114" s="659"/>
      <c r="I114" s="668">
        <f>SUM(I115:I120)</f>
        <v>16139.142142857143</v>
      </c>
    </row>
    <row r="115" spans="1:9">
      <c r="A115" s="244"/>
      <c r="B115" s="245" t="s">
        <v>367</v>
      </c>
      <c r="C115" s="244" t="s">
        <v>323</v>
      </c>
      <c r="D115" s="244">
        <v>0.4</v>
      </c>
      <c r="E115" s="244">
        <f>'Gia_Dcu-Tbi-Vlieu'!E$26</f>
        <v>7</v>
      </c>
      <c r="F115" s="661">
        <f>'Gia_Dcu-Tbi-Vlieu'!F$26</f>
        <v>13127000</v>
      </c>
      <c r="G115" s="662">
        <f>'Gia_Dcu-Tbi-Vlieu'!G$26</f>
        <v>3750.5714285714284</v>
      </c>
      <c r="H115" s="663">
        <v>1.36</v>
      </c>
      <c r="I115" s="664">
        <f t="shared" ref="I115:I121" si="9">G115*H115</f>
        <v>5100.7771428571432</v>
      </c>
    </row>
    <row r="116" spans="1:9">
      <c r="A116" s="244"/>
      <c r="B116" s="245" t="s">
        <v>340</v>
      </c>
      <c r="C116" s="244" t="s">
        <v>323</v>
      </c>
      <c r="D116" s="244">
        <v>0.6</v>
      </c>
      <c r="E116" s="244">
        <f>'Gia_Dcu-Tbi-Vlieu'!E$27</f>
        <v>8</v>
      </c>
      <c r="F116" s="661">
        <f>'Gia_Dcu-Tbi-Vlieu'!F$27</f>
        <v>4082000</v>
      </c>
      <c r="G116" s="662">
        <f>'Gia_Dcu-Tbi-Vlieu'!G$27</f>
        <v>1020.5</v>
      </c>
      <c r="H116" s="663">
        <v>2.1999999999999999E-2</v>
      </c>
      <c r="I116" s="664">
        <f t="shared" si="9"/>
        <v>22.450999999999997</v>
      </c>
    </row>
    <row r="117" spans="1:9">
      <c r="A117" s="244"/>
      <c r="B117" s="245" t="s">
        <v>342</v>
      </c>
      <c r="C117" s="244" t="s">
        <v>323</v>
      </c>
      <c r="D117" s="244">
        <v>0.6</v>
      </c>
      <c r="E117" s="244">
        <f>'Gia_Dcu-Tbi-Vlieu'!E$28</f>
        <v>8</v>
      </c>
      <c r="F117" s="661">
        <f>'Gia_Dcu-Tbi-Vlieu'!F$28</f>
        <v>14445000</v>
      </c>
      <c r="G117" s="662">
        <f>'Gia_Dcu-Tbi-Vlieu'!G$28</f>
        <v>3611.25</v>
      </c>
      <c r="H117" s="663">
        <v>0.04</v>
      </c>
      <c r="I117" s="664">
        <f t="shared" si="9"/>
        <v>144.45000000000002</v>
      </c>
    </row>
    <row r="118" spans="1:9">
      <c r="A118" s="244"/>
      <c r="B118" s="245" t="s">
        <v>343</v>
      </c>
      <c r="C118" s="244" t="s">
        <v>323</v>
      </c>
      <c r="D118" s="244">
        <v>0.6</v>
      </c>
      <c r="E118" s="244">
        <f>'Gia_Dcu-Tbi-Vlieu'!E$29</f>
        <v>8</v>
      </c>
      <c r="F118" s="661">
        <f>'Gia_Dcu-Tbi-Vlieu'!F$30</f>
        <v>78082000</v>
      </c>
      <c r="G118" s="662">
        <f>'Gia_Dcu-Tbi-Vlieu'!G$29</f>
        <v>70200</v>
      </c>
      <c r="H118" s="663">
        <v>0.04</v>
      </c>
      <c r="I118" s="664">
        <f t="shared" si="9"/>
        <v>2808</v>
      </c>
    </row>
    <row r="119" spans="1:9">
      <c r="A119" s="244"/>
      <c r="B119" s="245" t="s">
        <v>368</v>
      </c>
      <c r="C119" s="244" t="s">
        <v>323</v>
      </c>
      <c r="D119" s="244">
        <v>2.2000000000000002</v>
      </c>
      <c r="E119" s="244">
        <f>'Gia_Dcu-Tbi-Vlieu'!E$30</f>
        <v>8</v>
      </c>
      <c r="F119" s="661">
        <f>'Gia_Dcu-Tbi-Vlieu'!F$31</f>
        <v>9910000</v>
      </c>
      <c r="G119" s="662">
        <f>'Gia_Dcu-Tbi-Vlieu'!G$30</f>
        <v>19520.5</v>
      </c>
      <c r="H119" s="663">
        <v>0.40799999999999997</v>
      </c>
      <c r="I119" s="664">
        <f t="shared" si="9"/>
        <v>7964.3639999999996</v>
      </c>
    </row>
    <row r="120" spans="1:9">
      <c r="A120" s="244"/>
      <c r="B120" s="245" t="s">
        <v>42</v>
      </c>
      <c r="C120" s="244" t="s">
        <v>323</v>
      </c>
      <c r="D120" s="244">
        <v>1.5</v>
      </c>
      <c r="E120" s="244">
        <f>'Gia_Dcu-Tbi-Vlieu'!E$31</f>
        <v>8</v>
      </c>
      <c r="F120" s="661">
        <f>'Gia_Dcu-Tbi-Vlieu'!F$32</f>
        <v>179900000</v>
      </c>
      <c r="G120" s="662">
        <f>'Gia_Dcu-Tbi-Vlieu'!G$31</f>
        <v>2477.5</v>
      </c>
      <c r="H120" s="663">
        <v>0.04</v>
      </c>
      <c r="I120" s="664">
        <f t="shared" si="9"/>
        <v>99.100000000000009</v>
      </c>
    </row>
    <row r="121" spans="1:9" s="37" customFormat="1">
      <c r="A121" s="654"/>
      <c r="B121" s="655" t="s">
        <v>17</v>
      </c>
      <c r="C121" s="654" t="s">
        <v>338</v>
      </c>
      <c r="D121" s="654"/>
      <c r="E121" s="656">
        <f>'Gia_Dcu-Tbi-Vlieu'!E$35</f>
        <v>1.05</v>
      </c>
      <c r="F121" s="657">
        <f>'Gia_Dcu-Tbi-Vlieu'!F$35</f>
        <v>2226</v>
      </c>
      <c r="G121" s="658">
        <f>'Gia_Dcu-Tbi-Vlieu'!G$35</f>
        <v>2337.3000000000002</v>
      </c>
      <c r="H121" s="659">
        <v>12.502000000000001</v>
      </c>
      <c r="I121" s="668">
        <f t="shared" si="9"/>
        <v>29220.924600000002</v>
      </c>
    </row>
    <row r="122" spans="1:9">
      <c r="A122" s="244"/>
      <c r="B122" s="257" t="s">
        <v>294</v>
      </c>
      <c r="C122" s="244"/>
      <c r="D122" s="244"/>
      <c r="E122" s="244"/>
      <c r="F122" s="661"/>
      <c r="G122" s="662"/>
      <c r="H122" s="663"/>
      <c r="I122" s="664"/>
    </row>
    <row r="123" spans="1:9">
      <c r="A123" s="244"/>
      <c r="B123" s="245" t="s">
        <v>402</v>
      </c>
      <c r="C123" s="244"/>
      <c r="D123" s="244"/>
      <c r="E123" s="244"/>
      <c r="F123" s="661"/>
      <c r="G123" s="662"/>
      <c r="H123" s="663"/>
      <c r="I123" s="664"/>
    </row>
    <row r="124" spans="1:9" ht="53.25" customHeight="1">
      <c r="A124" s="244"/>
      <c r="B124" s="1021" t="s">
        <v>787</v>
      </c>
      <c r="C124" s="1021"/>
      <c r="D124" s="1021"/>
      <c r="E124" s="244"/>
      <c r="F124" s="661"/>
      <c r="G124" s="662"/>
      <c r="H124" s="663">
        <v>1.3</v>
      </c>
      <c r="I124" s="664">
        <f>H124*I114</f>
        <v>20980.884785714286</v>
      </c>
    </row>
    <row r="125" spans="1:9">
      <c r="A125" s="244"/>
      <c r="B125" s="245"/>
      <c r="C125" s="244"/>
      <c r="D125" s="244"/>
      <c r="E125" s="244"/>
      <c r="F125" s="661"/>
      <c r="G125" s="662"/>
      <c r="H125" s="674"/>
      <c r="I125" s="664"/>
    </row>
    <row r="126" spans="1:9" s="9" customFormat="1" ht="30" customHeight="1">
      <c r="A126" s="683" t="str">
        <f>L_CViec!A373</f>
        <v>VII</v>
      </c>
      <c r="B126" s="1065" t="str">
        <f>L_CViec!B373</f>
        <v>Đăng ký biến động đất đai đối với hộ gia đình, cá nhân, cộng đồng dân cư, người gốc Việt Nam định cư ở nước ngoài</v>
      </c>
      <c r="C126" s="1065"/>
      <c r="D126" s="1065"/>
      <c r="E126" s="638"/>
      <c r="F126" s="675"/>
      <c r="G126" s="638"/>
      <c r="H126" s="639"/>
      <c r="I126" s="667" t="s">
        <v>394</v>
      </c>
    </row>
    <row r="127" spans="1:9">
      <c r="A127" s="654">
        <v>1</v>
      </c>
      <c r="B127" s="655" t="s">
        <v>692</v>
      </c>
      <c r="C127" s="654"/>
      <c r="D127" s="654"/>
      <c r="E127" s="654"/>
      <c r="F127" s="657"/>
      <c r="G127" s="658"/>
      <c r="H127" s="659"/>
      <c r="I127" s="668">
        <f>SUM(I128:I133)</f>
        <v>9397.9480357142857</v>
      </c>
    </row>
    <row r="128" spans="1:9" s="37" customFormat="1">
      <c r="A128" s="244"/>
      <c r="B128" s="245" t="s">
        <v>367</v>
      </c>
      <c r="C128" s="244" t="s">
        <v>323</v>
      </c>
      <c r="D128" s="244">
        <v>0.4</v>
      </c>
      <c r="E128" s="244">
        <f>'Gia_Dcu-Tbi-Vlieu'!E$26</f>
        <v>7</v>
      </c>
      <c r="F128" s="661">
        <f>'Gia_Dcu-Tbi-Vlieu'!F$26</f>
        <v>13127000</v>
      </c>
      <c r="G128" s="662">
        <f>'Gia_Dcu-Tbi-Vlieu'!G$26</f>
        <v>3750.5714285714284</v>
      </c>
      <c r="H128" s="663">
        <v>0.9</v>
      </c>
      <c r="I128" s="664">
        <f t="shared" ref="I128:I133" si="10">G128*H128</f>
        <v>3375.5142857142855</v>
      </c>
    </row>
    <row r="129" spans="1:9">
      <c r="A129" s="244"/>
      <c r="B129" s="245" t="s">
        <v>340</v>
      </c>
      <c r="C129" s="244" t="s">
        <v>323</v>
      </c>
      <c r="D129" s="244">
        <v>0.6</v>
      </c>
      <c r="E129" s="244">
        <f>'Gia_Dcu-Tbi-Vlieu'!E$27</f>
        <v>8</v>
      </c>
      <c r="F129" s="661">
        <f>'Gia_Dcu-Tbi-Vlieu'!F$27</f>
        <v>4082000</v>
      </c>
      <c r="G129" s="662">
        <f>'Gia_Dcu-Tbi-Vlieu'!G$27</f>
        <v>1020.5</v>
      </c>
      <c r="H129" s="663">
        <v>0.03</v>
      </c>
      <c r="I129" s="664">
        <f t="shared" si="10"/>
        <v>30.614999999999998</v>
      </c>
    </row>
    <row r="130" spans="1:9">
      <c r="A130" s="244"/>
      <c r="B130" s="245" t="s">
        <v>342</v>
      </c>
      <c r="C130" s="244" t="s">
        <v>323</v>
      </c>
      <c r="D130" s="244">
        <v>0.6</v>
      </c>
      <c r="E130" s="244">
        <f>'Gia_Dcu-Tbi-Vlieu'!E$28</f>
        <v>8</v>
      </c>
      <c r="F130" s="661">
        <f>'Gia_Dcu-Tbi-Vlieu'!F$28</f>
        <v>14445000</v>
      </c>
      <c r="G130" s="662">
        <f>'Gia_Dcu-Tbi-Vlieu'!G$28</f>
        <v>3611.25</v>
      </c>
      <c r="H130" s="663">
        <v>8.9999999999999993E-3</v>
      </c>
      <c r="I130" s="664">
        <f t="shared" si="10"/>
        <v>32.501249999999999</v>
      </c>
    </row>
    <row r="131" spans="1:9">
      <c r="A131" s="244"/>
      <c r="B131" s="245" t="s">
        <v>343</v>
      </c>
      <c r="C131" s="244" t="s">
        <v>323</v>
      </c>
      <c r="D131" s="244">
        <v>0.6</v>
      </c>
      <c r="E131" s="244">
        <f>'Gia_Dcu-Tbi-Vlieu'!E$29</f>
        <v>8</v>
      </c>
      <c r="F131" s="661">
        <f>'Gia_Dcu-Tbi-Vlieu'!F$30</f>
        <v>78082000</v>
      </c>
      <c r="G131" s="662">
        <f>'Gia_Dcu-Tbi-Vlieu'!G$29</f>
        <v>70200</v>
      </c>
      <c r="H131" s="663">
        <v>8.9999999999999993E-3</v>
      </c>
      <c r="I131" s="664">
        <f t="shared" si="10"/>
        <v>631.79999999999995</v>
      </c>
    </row>
    <row r="132" spans="1:9">
      <c r="A132" s="244"/>
      <c r="B132" s="245" t="s">
        <v>368</v>
      </c>
      <c r="C132" s="244" t="s">
        <v>323</v>
      </c>
      <c r="D132" s="244">
        <v>2.2000000000000002</v>
      </c>
      <c r="E132" s="244">
        <f>'Gia_Dcu-Tbi-Vlieu'!E$30</f>
        <v>8</v>
      </c>
      <c r="F132" s="661">
        <f>'Gia_Dcu-Tbi-Vlieu'!F$31</f>
        <v>9910000</v>
      </c>
      <c r="G132" s="662">
        <f>'Gia_Dcu-Tbi-Vlieu'!G$30</f>
        <v>19520.5</v>
      </c>
      <c r="H132" s="663">
        <v>0.27</v>
      </c>
      <c r="I132" s="664">
        <f t="shared" si="10"/>
        <v>5270.5350000000008</v>
      </c>
    </row>
    <row r="133" spans="1:9" s="5" customFormat="1">
      <c r="A133" s="244"/>
      <c r="B133" s="245" t="s">
        <v>42</v>
      </c>
      <c r="C133" s="244" t="s">
        <v>323</v>
      </c>
      <c r="D133" s="244">
        <v>1.5</v>
      </c>
      <c r="E133" s="244">
        <f>'Gia_Dcu-Tbi-Vlieu'!E$31</f>
        <v>8</v>
      </c>
      <c r="F133" s="661">
        <f>'Gia_Dcu-Tbi-Vlieu'!F$32</f>
        <v>179900000</v>
      </c>
      <c r="G133" s="662">
        <f>'Gia_Dcu-Tbi-Vlieu'!G$31</f>
        <v>2477.5</v>
      </c>
      <c r="H133" s="663">
        <v>2.3E-2</v>
      </c>
      <c r="I133" s="664">
        <f t="shared" si="10"/>
        <v>56.982500000000002</v>
      </c>
    </row>
    <row r="134" spans="1:9" s="37" customFormat="1">
      <c r="A134" s="654"/>
      <c r="B134" s="655" t="s">
        <v>17</v>
      </c>
      <c r="C134" s="654" t="s">
        <v>338</v>
      </c>
      <c r="D134" s="654"/>
      <c r="E134" s="656">
        <f>'Gia_Dcu-Tbi-Vlieu'!E$35</f>
        <v>1.05</v>
      </c>
      <c r="F134" s="657">
        <f>'Gia_Dcu-Tbi-Vlieu'!F$35</f>
        <v>2226</v>
      </c>
      <c r="G134" s="658">
        <f>'Gia_Dcu-Tbi-Vlieu'!G$35</f>
        <v>2337.3000000000002</v>
      </c>
      <c r="H134" s="663">
        <v>8.1389999999999993</v>
      </c>
      <c r="I134" s="668">
        <f>G134*H134</f>
        <v>19023.2847</v>
      </c>
    </row>
    <row r="135" spans="1:9" s="5" customFormat="1" ht="15">
      <c r="A135" s="167"/>
      <c r="B135" s="257" t="s">
        <v>294</v>
      </c>
      <c r="C135" s="167"/>
      <c r="D135" s="167"/>
      <c r="E135" s="167"/>
      <c r="F135" s="670"/>
      <c r="G135" s="671"/>
      <c r="H135" s="672"/>
      <c r="I135" s="673"/>
    </row>
    <row r="136" spans="1:9">
      <c r="A136" s="244"/>
      <c r="B136" s="1071" t="s">
        <v>402</v>
      </c>
      <c r="C136" s="1071"/>
      <c r="D136" s="1071"/>
      <c r="E136" s="244"/>
      <c r="F136" s="661"/>
      <c r="G136" s="662"/>
      <c r="H136" s="663"/>
      <c r="I136" s="664"/>
    </row>
    <row r="137" spans="1:9">
      <c r="A137" s="394"/>
      <c r="B137" s="1021" t="s">
        <v>788</v>
      </c>
      <c r="C137" s="1021"/>
      <c r="D137" s="1021"/>
      <c r="E137" s="1068"/>
      <c r="F137" s="1068"/>
      <c r="G137" s="1068"/>
      <c r="H137" s="172"/>
      <c r="I137" s="664"/>
    </row>
    <row r="138" spans="1:9">
      <c r="A138" s="394"/>
      <c r="B138" s="1021"/>
      <c r="C138" s="1021"/>
      <c r="D138" s="1021"/>
      <c r="E138" s="1070"/>
      <c r="F138" s="1070"/>
      <c r="G138" s="1070"/>
      <c r="H138" s="663"/>
      <c r="I138" s="664"/>
    </row>
    <row r="139" spans="1:9">
      <c r="A139" s="394"/>
      <c r="B139" s="1021"/>
      <c r="C139" s="1021"/>
      <c r="D139" s="1021"/>
      <c r="E139" s="1070"/>
      <c r="F139" s="1070"/>
      <c r="G139" s="1070"/>
      <c r="H139" s="663"/>
      <c r="I139" s="664"/>
    </row>
    <row r="140" spans="1:9">
      <c r="A140" s="394"/>
      <c r="B140" s="1021"/>
      <c r="C140" s="1021"/>
      <c r="D140" s="1021"/>
      <c r="E140" s="1068"/>
      <c r="F140" s="1068"/>
      <c r="G140" s="1068"/>
      <c r="H140" s="172"/>
      <c r="I140" s="664"/>
    </row>
    <row r="141" spans="1:9">
      <c r="A141" s="394"/>
      <c r="B141" s="1021"/>
      <c r="C141" s="1021"/>
      <c r="D141" s="1021"/>
      <c r="E141" s="1070"/>
      <c r="F141" s="1070"/>
      <c r="G141" s="1070"/>
      <c r="H141" s="663"/>
      <c r="I141" s="664"/>
    </row>
    <row r="142" spans="1:9">
      <c r="A142" s="394"/>
      <c r="B142" s="1021"/>
      <c r="C142" s="1021"/>
      <c r="D142" s="1021"/>
      <c r="E142" s="1070" t="s">
        <v>692</v>
      </c>
      <c r="F142" s="1070"/>
      <c r="G142" s="1070"/>
      <c r="H142" s="663">
        <v>1.3</v>
      </c>
      <c r="I142" s="664">
        <f>H142*I$127</f>
        <v>12217.332446428572</v>
      </c>
    </row>
    <row r="143" spans="1:9">
      <c r="A143" s="394"/>
      <c r="B143" s="1021" t="s">
        <v>789</v>
      </c>
      <c r="C143" s="1021"/>
      <c r="D143" s="1021"/>
      <c r="E143" s="1068"/>
      <c r="F143" s="1068"/>
      <c r="G143" s="1068"/>
      <c r="H143" s="172"/>
      <c r="I143" s="664"/>
    </row>
    <row r="144" spans="1:9">
      <c r="A144" s="244"/>
      <c r="B144" s="1021"/>
      <c r="C144" s="1021"/>
      <c r="D144" s="1021"/>
      <c r="E144" s="1070"/>
      <c r="F144" s="1070"/>
      <c r="G144" s="1070"/>
      <c r="H144" s="663"/>
      <c r="I144" s="664"/>
    </row>
    <row r="145" spans="1:9">
      <c r="A145" s="244"/>
      <c r="B145" s="1021"/>
      <c r="C145" s="1021"/>
      <c r="D145" s="1021"/>
      <c r="E145" s="1070"/>
      <c r="F145" s="1070"/>
      <c r="G145" s="1070"/>
      <c r="H145" s="663"/>
      <c r="I145" s="664"/>
    </row>
    <row r="146" spans="1:9">
      <c r="A146" s="244"/>
      <c r="B146" s="1021"/>
      <c r="C146" s="1021"/>
      <c r="D146" s="1021"/>
      <c r="E146" s="1068"/>
      <c r="F146" s="1068"/>
      <c r="G146" s="1068"/>
      <c r="H146" s="172"/>
      <c r="I146" s="664"/>
    </row>
    <row r="147" spans="1:9">
      <c r="A147" s="244"/>
      <c r="B147" s="1021"/>
      <c r="C147" s="1021"/>
      <c r="D147" s="1021"/>
      <c r="E147" s="1070"/>
      <c r="F147" s="1070"/>
      <c r="G147" s="1070"/>
      <c r="H147" s="663"/>
      <c r="I147" s="664"/>
    </row>
    <row r="148" spans="1:9">
      <c r="A148" s="244"/>
      <c r="B148" s="1021"/>
      <c r="C148" s="1021"/>
      <c r="D148" s="1021"/>
      <c r="E148" s="1070" t="s">
        <v>692</v>
      </c>
      <c r="F148" s="1070"/>
      <c r="G148" s="1070"/>
      <c r="H148" s="663">
        <v>0.6</v>
      </c>
      <c r="I148" s="664">
        <f>H148*I$127</f>
        <v>5638.7688214285708</v>
      </c>
    </row>
    <row r="149" spans="1:9">
      <c r="A149" s="244"/>
      <c r="B149" s="245"/>
      <c r="C149" s="244"/>
      <c r="D149" s="244"/>
      <c r="E149" s="244"/>
      <c r="F149" s="661"/>
      <c r="G149" s="662"/>
      <c r="H149" s="674"/>
      <c r="I149" s="664"/>
    </row>
    <row r="150" spans="1:9" s="9" customFormat="1" ht="30" customHeight="1">
      <c r="A150" s="683" t="str">
        <f>L_CViec!A427</f>
        <v>VIII</v>
      </c>
      <c r="B150" s="1065" t="str">
        <f>L_CViec!B427</f>
        <v xml:space="preserve">Đăng ký biến động đất đai đối với tổ chức, tổ chức tôn giáo, tổ chức tôn giáo trực thuộc, tổ chức nước ngoài có chức năng ngoại giao, tổ chức kinh tế có vốn đầu tư nước ngoài, tổ chức nước ngoài, cá nhân nước ngoài </v>
      </c>
      <c r="C150" s="1065"/>
      <c r="D150" s="1065"/>
      <c r="E150" s="675"/>
      <c r="F150" s="638"/>
      <c r="G150" s="638"/>
      <c r="H150" s="639"/>
      <c r="I150" s="667" t="s">
        <v>790</v>
      </c>
    </row>
    <row r="151" spans="1:9">
      <c r="A151" s="654">
        <v>1</v>
      </c>
      <c r="B151" s="655" t="s">
        <v>321</v>
      </c>
      <c r="C151" s="654"/>
      <c r="D151" s="654"/>
      <c r="E151" s="654"/>
      <c r="F151" s="657"/>
      <c r="G151" s="658"/>
      <c r="H151" s="659"/>
      <c r="I151" s="668">
        <f>SUM(I152:I157)</f>
        <v>13858.50575</v>
      </c>
    </row>
    <row r="152" spans="1:9">
      <c r="A152" s="244"/>
      <c r="B152" s="245" t="s">
        <v>367</v>
      </c>
      <c r="C152" s="244" t="s">
        <v>323</v>
      </c>
      <c r="D152" s="244">
        <v>0.4</v>
      </c>
      <c r="E152" s="244">
        <f>'Gia_Dcu-Tbi-Vlieu'!E$26</f>
        <v>7</v>
      </c>
      <c r="F152" s="661">
        <f>'Gia_Dcu-Tbi-Vlieu'!F$26</f>
        <v>13127000</v>
      </c>
      <c r="G152" s="662">
        <f>'Gia_Dcu-Tbi-Vlieu'!G$26</f>
        <v>3750.5714285714284</v>
      </c>
      <c r="H152" s="663">
        <v>1.365</v>
      </c>
      <c r="I152" s="664">
        <f t="shared" ref="I152:I158" si="11">G152*H152</f>
        <v>5119.53</v>
      </c>
    </row>
    <row r="153" spans="1:9">
      <c r="A153" s="244"/>
      <c r="B153" s="245" t="s">
        <v>340</v>
      </c>
      <c r="C153" s="244" t="s">
        <v>323</v>
      </c>
      <c r="D153" s="244">
        <v>0.6</v>
      </c>
      <c r="E153" s="244">
        <f>'Gia_Dcu-Tbi-Vlieu'!E$27</f>
        <v>8</v>
      </c>
      <c r="F153" s="661">
        <f>'Gia_Dcu-Tbi-Vlieu'!F$27</f>
        <v>4082000</v>
      </c>
      <c r="G153" s="662">
        <f>'Gia_Dcu-Tbi-Vlieu'!G$27</f>
        <v>1020.5</v>
      </c>
      <c r="H153" s="663">
        <v>1.4E-2</v>
      </c>
      <c r="I153" s="664">
        <f t="shared" si="11"/>
        <v>14.287000000000001</v>
      </c>
    </row>
    <row r="154" spans="1:9">
      <c r="A154" s="244"/>
      <c r="B154" s="245" t="s">
        <v>342</v>
      </c>
      <c r="C154" s="244" t="s">
        <v>323</v>
      </c>
      <c r="D154" s="244">
        <v>0.6</v>
      </c>
      <c r="E154" s="244">
        <f>'Gia_Dcu-Tbi-Vlieu'!E$28</f>
        <v>8</v>
      </c>
      <c r="F154" s="661">
        <f>'Gia_Dcu-Tbi-Vlieu'!F$28</f>
        <v>14445000</v>
      </c>
      <c r="G154" s="662">
        <f>'Gia_Dcu-Tbi-Vlieu'!G$28</f>
        <v>3611.25</v>
      </c>
      <c r="H154" s="663">
        <v>8.9999999999999993E-3</v>
      </c>
      <c r="I154" s="664">
        <f t="shared" si="11"/>
        <v>32.501249999999999</v>
      </c>
    </row>
    <row r="155" spans="1:9">
      <c r="A155" s="244"/>
      <c r="B155" s="245" t="s">
        <v>343</v>
      </c>
      <c r="C155" s="244" t="s">
        <v>323</v>
      </c>
      <c r="D155" s="244">
        <v>0.6</v>
      </c>
      <c r="E155" s="244">
        <f>'Gia_Dcu-Tbi-Vlieu'!E$29</f>
        <v>8</v>
      </c>
      <c r="F155" s="661">
        <f>'Gia_Dcu-Tbi-Vlieu'!F$30</f>
        <v>78082000</v>
      </c>
      <c r="G155" s="662">
        <f>'Gia_Dcu-Tbi-Vlieu'!G$29</f>
        <v>70200</v>
      </c>
      <c r="H155" s="663">
        <v>8.9999999999999993E-3</v>
      </c>
      <c r="I155" s="664">
        <f t="shared" si="11"/>
        <v>631.79999999999995</v>
      </c>
    </row>
    <row r="156" spans="1:9">
      <c r="A156" s="244"/>
      <c r="B156" s="245" t="s">
        <v>368</v>
      </c>
      <c r="C156" s="244" t="s">
        <v>323</v>
      </c>
      <c r="D156" s="244">
        <v>2.2000000000000002</v>
      </c>
      <c r="E156" s="244">
        <f>'Gia_Dcu-Tbi-Vlieu'!E$30</f>
        <v>8</v>
      </c>
      <c r="F156" s="661">
        <f>'Gia_Dcu-Tbi-Vlieu'!F$31</f>
        <v>9910000</v>
      </c>
      <c r="G156" s="662">
        <f>'Gia_Dcu-Tbi-Vlieu'!G$30</f>
        <v>19520.5</v>
      </c>
      <c r="H156" s="663">
        <v>0.41</v>
      </c>
      <c r="I156" s="664">
        <f t="shared" si="11"/>
        <v>8003.4049999999997</v>
      </c>
    </row>
    <row r="157" spans="1:9">
      <c r="A157" s="244"/>
      <c r="B157" s="245" t="s">
        <v>42</v>
      </c>
      <c r="C157" s="244" t="s">
        <v>323</v>
      </c>
      <c r="D157" s="244">
        <v>1.5</v>
      </c>
      <c r="E157" s="244">
        <f>'Gia_Dcu-Tbi-Vlieu'!E$31</f>
        <v>8</v>
      </c>
      <c r="F157" s="661">
        <f>'Gia_Dcu-Tbi-Vlieu'!F$32</f>
        <v>179900000</v>
      </c>
      <c r="G157" s="662">
        <f>'Gia_Dcu-Tbi-Vlieu'!G$31</f>
        <v>2477.5</v>
      </c>
      <c r="H157" s="663">
        <v>2.3E-2</v>
      </c>
      <c r="I157" s="664">
        <f t="shared" si="11"/>
        <v>56.982500000000002</v>
      </c>
    </row>
    <row r="158" spans="1:9" s="37" customFormat="1">
      <c r="A158" s="654"/>
      <c r="B158" s="655" t="s">
        <v>17</v>
      </c>
      <c r="C158" s="654" t="s">
        <v>338</v>
      </c>
      <c r="D158" s="654"/>
      <c r="E158" s="656">
        <f>'Gia_Dcu-Tbi-Vlieu'!E$35</f>
        <v>1.05</v>
      </c>
      <c r="F158" s="657">
        <f>'Gia_Dcu-Tbi-Vlieu'!F$35</f>
        <v>2226</v>
      </c>
      <c r="G158" s="658">
        <f>'Gia_Dcu-Tbi-Vlieu'!G$35</f>
        <v>2337.3000000000002</v>
      </c>
      <c r="H158" s="663">
        <v>11.997</v>
      </c>
      <c r="I158" s="668">
        <f t="shared" si="11"/>
        <v>28040.588100000001</v>
      </c>
    </row>
    <row r="159" spans="1:9">
      <c r="A159" s="244"/>
      <c r="B159" s="257" t="s">
        <v>294</v>
      </c>
      <c r="C159" s="244"/>
      <c r="D159" s="244"/>
      <c r="E159" s="244"/>
      <c r="F159" s="661"/>
      <c r="G159" s="662"/>
      <c r="H159" s="663"/>
      <c r="I159" s="664"/>
    </row>
    <row r="160" spans="1:9">
      <c r="A160" s="244"/>
      <c r="B160" s="1071" t="s">
        <v>402</v>
      </c>
      <c r="C160" s="1071"/>
      <c r="D160" s="1071"/>
      <c r="E160" s="1071"/>
      <c r="F160" s="661"/>
      <c r="G160" s="662"/>
      <c r="H160" s="663"/>
      <c r="I160" s="664"/>
    </row>
    <row r="161" spans="1:9" ht="48" customHeight="1">
      <c r="A161" s="244"/>
      <c r="B161" s="1071" t="s">
        <v>791</v>
      </c>
      <c r="C161" s="1071"/>
      <c r="D161" s="1071"/>
      <c r="E161" s="1071"/>
      <c r="F161" s="661"/>
      <c r="G161" s="662"/>
      <c r="H161" s="663">
        <v>1.3</v>
      </c>
      <c r="I161" s="664">
        <f>H161*I151</f>
        <v>18016.057475000001</v>
      </c>
    </row>
    <row r="162" spans="1:9" s="5" customFormat="1" ht="54" customHeight="1">
      <c r="A162" s="244"/>
      <c r="B162" s="1071" t="s">
        <v>792</v>
      </c>
      <c r="C162" s="1071"/>
      <c r="D162" s="1071"/>
      <c r="E162" s="1071"/>
      <c r="F162" s="661"/>
      <c r="G162" s="662"/>
      <c r="H162" s="663">
        <v>0.6</v>
      </c>
      <c r="I162" s="664">
        <f>H162*I151</f>
        <v>8315.1034500000005</v>
      </c>
    </row>
    <row r="163" spans="1:9" s="37" customFormat="1">
      <c r="A163" s="244"/>
      <c r="B163" s="245"/>
      <c r="C163" s="244"/>
      <c r="D163" s="244"/>
      <c r="E163" s="244"/>
      <c r="F163" s="661"/>
      <c r="G163" s="662"/>
      <c r="H163" s="674"/>
      <c r="I163" s="664"/>
    </row>
    <row r="164" spans="1:9" s="9" customFormat="1" ht="30" customHeight="1">
      <c r="A164" s="683" t="str">
        <f>L_CViec!A478</f>
        <v>XI</v>
      </c>
      <c r="B164" s="1065" t="str">
        <f>L_CViec!B478</f>
        <v>TRÍCH LỤC HỒ SƠ ĐỊA CHÍNH</v>
      </c>
      <c r="C164" s="1065"/>
      <c r="D164" s="1065"/>
      <c r="E164" s="675"/>
      <c r="F164" s="638"/>
      <c r="G164" s="638"/>
      <c r="H164" s="639"/>
      <c r="I164" s="667" t="s">
        <v>401</v>
      </c>
    </row>
    <row r="165" spans="1:9">
      <c r="A165" s="654">
        <v>1</v>
      </c>
      <c r="B165" s="655" t="s">
        <v>321</v>
      </c>
      <c r="C165" s="654"/>
      <c r="D165" s="654"/>
      <c r="E165" s="654"/>
      <c r="F165" s="657"/>
      <c r="G165" s="658"/>
      <c r="H165" s="659"/>
      <c r="I165" s="668">
        <f>SUM(I166:I169)</f>
        <v>1677.7932142857144</v>
      </c>
    </row>
    <row r="166" spans="1:9">
      <c r="A166" s="244"/>
      <c r="B166" s="245" t="s">
        <v>368</v>
      </c>
      <c r="C166" s="244" t="s">
        <v>323</v>
      </c>
      <c r="D166" s="244">
        <v>2.2000000000000002</v>
      </c>
      <c r="E166" s="244">
        <f>'Gia_Dcu-Tbi-Vlieu'!E$30</f>
        <v>8</v>
      </c>
      <c r="F166" s="661">
        <f>'Gia_Dcu-Tbi-Vlieu'!F$31</f>
        <v>9910000</v>
      </c>
      <c r="G166" s="662">
        <f>'Gia_Dcu-Tbi-Vlieu'!G$30</f>
        <v>19520.5</v>
      </c>
      <c r="H166" s="663">
        <v>0.05</v>
      </c>
      <c r="I166" s="664">
        <f>G166*H166</f>
        <v>976.02500000000009</v>
      </c>
    </row>
    <row r="167" spans="1:9">
      <c r="A167" s="244"/>
      <c r="B167" s="245" t="s">
        <v>367</v>
      </c>
      <c r="C167" s="244" t="s">
        <v>323</v>
      </c>
      <c r="D167" s="244">
        <v>0.4</v>
      </c>
      <c r="E167" s="244">
        <f>'Gia_Dcu-Tbi-Vlieu'!E$26</f>
        <v>7</v>
      </c>
      <c r="F167" s="661">
        <f>'Gia_Dcu-Tbi-Vlieu'!F$26</f>
        <v>13127000</v>
      </c>
      <c r="G167" s="662">
        <f>'Gia_Dcu-Tbi-Vlieu'!G$26</f>
        <v>3750.5714285714284</v>
      </c>
      <c r="H167" s="663">
        <v>0.15</v>
      </c>
      <c r="I167" s="664">
        <f>G167*H167</f>
        <v>562.58571428571429</v>
      </c>
    </row>
    <row r="168" spans="1:9">
      <c r="A168" s="244"/>
      <c r="B168" s="245" t="s">
        <v>340</v>
      </c>
      <c r="C168" s="244" t="s">
        <v>323</v>
      </c>
      <c r="D168" s="244">
        <v>0.6</v>
      </c>
      <c r="E168" s="244">
        <f>'Gia_Dcu-Tbi-Vlieu'!E$27</f>
        <v>8</v>
      </c>
      <c r="F168" s="661">
        <f>'Gia_Dcu-Tbi-Vlieu'!F$27</f>
        <v>4082000</v>
      </c>
      <c r="G168" s="662">
        <f>'Gia_Dcu-Tbi-Vlieu'!G$27</f>
        <v>1020.5</v>
      </c>
      <c r="H168" s="663">
        <v>1.4999999999999999E-2</v>
      </c>
      <c r="I168" s="664">
        <f>G168*H168</f>
        <v>15.307499999999999</v>
      </c>
    </row>
    <row r="169" spans="1:9">
      <c r="A169" s="244"/>
      <c r="B169" s="245" t="s">
        <v>42</v>
      </c>
      <c r="C169" s="244" t="s">
        <v>323</v>
      </c>
      <c r="D169" s="244">
        <v>1.5</v>
      </c>
      <c r="E169" s="244">
        <f>'Gia_Dcu-Tbi-Vlieu'!E$31</f>
        <v>8</v>
      </c>
      <c r="F169" s="661">
        <f>'Gia_Dcu-Tbi-Vlieu'!F$32</f>
        <v>179900000</v>
      </c>
      <c r="G169" s="662">
        <f>'Gia_Dcu-Tbi-Vlieu'!G$31</f>
        <v>2477.5</v>
      </c>
      <c r="H169" s="663">
        <v>0.05</v>
      </c>
      <c r="I169" s="664">
        <f>G169*H169</f>
        <v>123.875</v>
      </c>
    </row>
    <row r="170" spans="1:9" s="37" customFormat="1">
      <c r="A170" s="654"/>
      <c r="B170" s="655" t="s">
        <v>17</v>
      </c>
      <c r="C170" s="654" t="s">
        <v>338</v>
      </c>
      <c r="D170" s="654"/>
      <c r="E170" s="656">
        <f>'Gia_Dcu-Tbi-Vlieu'!E$35</f>
        <v>1.05</v>
      </c>
      <c r="F170" s="657">
        <f>'Gia_Dcu-Tbi-Vlieu'!F$35</f>
        <v>2226</v>
      </c>
      <c r="G170" s="658">
        <f>'Gia_Dcu-Tbi-Vlieu'!G$35</f>
        <v>2337.3000000000002</v>
      </c>
      <c r="H170" s="659">
        <v>2.032</v>
      </c>
      <c r="I170" s="668">
        <f>G170*H170</f>
        <v>4749.3936000000003</v>
      </c>
    </row>
    <row r="171" spans="1:9">
      <c r="A171" s="244"/>
      <c r="B171" s="257" t="s">
        <v>294</v>
      </c>
      <c r="C171" s="244"/>
      <c r="D171" s="244"/>
      <c r="E171" s="398"/>
      <c r="F171" s="661"/>
      <c r="G171" s="662"/>
      <c r="H171" s="663"/>
      <c r="I171" s="664"/>
    </row>
    <row r="172" spans="1:9">
      <c r="A172" s="244"/>
      <c r="B172" s="1073" t="s">
        <v>295</v>
      </c>
      <c r="C172" s="1073"/>
      <c r="D172" s="1073"/>
      <c r="E172" s="1073"/>
      <c r="F172" s="1073"/>
      <c r="G172" s="1073"/>
      <c r="H172" s="663"/>
      <c r="I172" s="664"/>
    </row>
    <row r="173" spans="1:9">
      <c r="A173" s="244"/>
      <c r="B173" s="1073" t="s">
        <v>793</v>
      </c>
      <c r="C173" s="1073"/>
      <c r="D173" s="1073"/>
      <c r="E173" s="1073"/>
      <c r="F173" s="1073"/>
      <c r="G173" s="1073"/>
      <c r="H173" s="663">
        <v>0.8</v>
      </c>
      <c r="I173" s="664">
        <f>H173*I$165</f>
        <v>1342.2345714285716</v>
      </c>
    </row>
    <row r="174" spans="1:9">
      <c r="A174" s="244"/>
      <c r="B174" s="1073" t="s">
        <v>794</v>
      </c>
      <c r="C174" s="1073"/>
      <c r="D174" s="1073"/>
      <c r="E174" s="1073"/>
      <c r="F174" s="1073"/>
      <c r="G174" s="1073"/>
      <c r="H174" s="663">
        <v>0.65</v>
      </c>
      <c r="I174" s="664">
        <f>H174*I$165</f>
        <v>1090.5655892857144</v>
      </c>
    </row>
    <row r="175" spans="1:9">
      <c r="A175" s="244"/>
      <c r="B175" s="1073" t="s">
        <v>795</v>
      </c>
      <c r="C175" s="1073"/>
      <c r="D175" s="1073"/>
      <c r="E175" s="1073"/>
      <c r="F175" s="1073"/>
      <c r="G175" s="1073"/>
      <c r="H175" s="663">
        <v>0.5</v>
      </c>
      <c r="I175" s="664">
        <f>H175*I$165</f>
        <v>838.89660714285719</v>
      </c>
    </row>
  </sheetData>
  <mergeCells count="69">
    <mergeCell ref="B136:D136"/>
    <mergeCell ref="E137:G137"/>
    <mergeCell ref="B137:D142"/>
    <mergeCell ref="E138:G138"/>
    <mergeCell ref="E139:G139"/>
    <mergeCell ref="B175:G175"/>
    <mergeCell ref="B162:E162"/>
    <mergeCell ref="B164:D164"/>
    <mergeCell ref="B172:G172"/>
    <mergeCell ref="B173:G173"/>
    <mergeCell ref="B174:G174"/>
    <mergeCell ref="B161:E161"/>
    <mergeCell ref="E141:G141"/>
    <mergeCell ref="E142:G142"/>
    <mergeCell ref="E140:G140"/>
    <mergeCell ref="E143:G143"/>
    <mergeCell ref="B150:D150"/>
    <mergeCell ref="B160:E160"/>
    <mergeCell ref="E144:G144"/>
    <mergeCell ref="E145:G145"/>
    <mergeCell ref="E146:G146"/>
    <mergeCell ref="E147:G147"/>
    <mergeCell ref="E148:G148"/>
    <mergeCell ref="B143:D148"/>
    <mergeCell ref="B126:D126"/>
    <mergeCell ref="E94:G94"/>
    <mergeCell ref="E95:G95"/>
    <mergeCell ref="E96:G96"/>
    <mergeCell ref="E97:G97"/>
    <mergeCell ref="B99:D99"/>
    <mergeCell ref="B111:D111"/>
    <mergeCell ref="E111:G111"/>
    <mergeCell ref="B113:D113"/>
    <mergeCell ref="B124:D124"/>
    <mergeCell ref="B70:D70"/>
    <mergeCell ref="B91:D91"/>
    <mergeCell ref="B92:D94"/>
    <mergeCell ref="B95:D97"/>
    <mergeCell ref="B88:D90"/>
    <mergeCell ref="E88:G88"/>
    <mergeCell ref="E89:G89"/>
    <mergeCell ref="E90:G90"/>
    <mergeCell ref="E92:G92"/>
    <mergeCell ref="E93:G93"/>
    <mergeCell ref="A1:I1"/>
    <mergeCell ref="B4:D4"/>
    <mergeCell ref="B25:E27"/>
    <mergeCell ref="F27:G27"/>
    <mergeCell ref="B33:E35"/>
    <mergeCell ref="F30:G30"/>
    <mergeCell ref="F31:G31"/>
    <mergeCell ref="F32:G32"/>
    <mergeCell ref="F33:G33"/>
    <mergeCell ref="F34:G34"/>
    <mergeCell ref="B28:E29"/>
    <mergeCell ref="F28:G28"/>
    <mergeCell ref="F29:G29"/>
    <mergeCell ref="B50:D50"/>
    <mergeCell ref="F35:G35"/>
    <mergeCell ref="B22:E24"/>
    <mergeCell ref="F22:G22"/>
    <mergeCell ref="F23:G23"/>
    <mergeCell ref="F24:G24"/>
    <mergeCell ref="B30:E32"/>
    <mergeCell ref="F25:G25"/>
    <mergeCell ref="F26:G26"/>
    <mergeCell ref="B37:D37"/>
    <mergeCell ref="B48:D48"/>
    <mergeCell ref="E48:H48"/>
  </mergeCells>
  <phoneticPr fontId="4" type="noConversion"/>
  <printOptions horizontalCentered="1"/>
  <pageMargins left="0.39370078740157499" right="0.196850393700787" top="0.39370078740157499" bottom="0.44" header="0.196850393700787" footer="0.196850393700787"/>
  <pageSetup paperSize="9" scale="89" firstPageNumber="93" orientation="landscape" useFirstPageNumber="1" r:id="rId1"/>
  <headerFooter alignWithMargins="0">
    <oddFooter>&amp;C&amp;P</oddFooter>
  </headerFooter>
  <rowBreaks count="3" manualBreakCount="3">
    <brk id="24" max="8" man="1"/>
    <brk id="91" max="8" man="1"/>
    <brk id="122" max="8" man="1"/>
  </rowBreaks>
  <ignoredErrors>
    <ignoredError sqref="I6:I20 I38:I45 I59 I80"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1:N192"/>
  <sheetViews>
    <sheetView showZeros="0" topLeftCell="A130" zoomScale="80" zoomScaleNormal="80" workbookViewId="0">
      <selection activeCell="M145" sqref="M145"/>
    </sheetView>
  </sheetViews>
  <sheetFormatPr defaultColWidth="9" defaultRowHeight="15.5"/>
  <cols>
    <col min="1" max="1" width="6.765625" style="25" customWidth="1"/>
    <col min="2" max="2" width="39.07421875" style="4" customWidth="1"/>
    <col min="3" max="3" width="7.765625" style="25" customWidth="1"/>
    <col min="4" max="4" width="11.765625" style="110" customWidth="1"/>
    <col min="5" max="5" width="11.07421875" style="113" customWidth="1"/>
    <col min="6" max="6" width="12" style="113" customWidth="1"/>
    <col min="7" max="7" width="10.23046875" style="113" customWidth="1"/>
    <col min="8" max="8" width="11.765625" style="114" customWidth="1"/>
    <col min="9" max="9" width="11.23046875" style="114" customWidth="1"/>
    <col min="10" max="10" width="12.07421875" style="114" customWidth="1"/>
    <col min="11" max="11" width="12.84375" style="4" customWidth="1"/>
    <col min="12" max="12" width="13.4609375" style="4" customWidth="1"/>
    <col min="13" max="16384" width="9" style="4"/>
  </cols>
  <sheetData>
    <row r="1" spans="1:12" ht="17.5">
      <c r="A1" s="1057" t="s">
        <v>453</v>
      </c>
      <c r="B1" s="1057"/>
      <c r="C1" s="1057"/>
      <c r="D1" s="1057"/>
      <c r="E1" s="1057"/>
      <c r="F1" s="1057"/>
      <c r="G1" s="1057"/>
      <c r="H1" s="1057"/>
      <c r="I1" s="1057"/>
      <c r="J1" s="1057"/>
    </row>
    <row r="2" spans="1:12">
      <c r="E2" s="111"/>
      <c r="F2" s="111"/>
      <c r="G2" s="111"/>
      <c r="H2" s="1056" t="s">
        <v>370</v>
      </c>
      <c r="I2" s="1056"/>
      <c r="J2" s="112"/>
    </row>
    <row r="3" spans="1:12" s="5" customFormat="1" ht="15">
      <c r="A3" s="987" t="s">
        <v>23</v>
      </c>
      <c r="B3" s="987" t="s">
        <v>3</v>
      </c>
      <c r="C3" s="987" t="s">
        <v>38</v>
      </c>
      <c r="D3" s="1012" t="s">
        <v>372</v>
      </c>
      <c r="E3" s="1075" t="s">
        <v>371</v>
      </c>
      <c r="F3" s="1075"/>
      <c r="G3" s="1075"/>
      <c r="H3" s="869" t="s">
        <v>35</v>
      </c>
      <c r="I3" s="869"/>
      <c r="J3" s="869"/>
    </row>
    <row r="4" spans="1:12" s="5" customFormat="1" ht="45" customHeight="1">
      <c r="A4" s="987"/>
      <c r="B4" s="987"/>
      <c r="C4" s="987"/>
      <c r="D4" s="1012"/>
      <c r="E4" s="235" t="s">
        <v>692</v>
      </c>
      <c r="F4" s="235"/>
      <c r="G4" s="235" t="s">
        <v>321</v>
      </c>
      <c r="H4" s="234" t="s">
        <v>692</v>
      </c>
      <c r="I4" s="234"/>
      <c r="J4" s="234" t="s">
        <v>321</v>
      </c>
    </row>
    <row r="5" spans="1:12" s="9" customFormat="1" ht="58.5" customHeight="1">
      <c r="A5" s="236" t="str">
        <f>L_CViec!A10</f>
        <v>I</v>
      </c>
      <c r="B5" s="1032" t="str">
        <f>L_CViec!B10</f>
        <v>Đăng ký, cấp Giấy chứng nhận lần đầu đồng loạt đối hộ gia đình, cá nhân, cộng đồng dân cư, tổ chức sử dụng đất, người gốc Việt Nam định cư ở nước ngoài tại địa bàn xã, phường, đặc khu</v>
      </c>
      <c r="C5" s="1032"/>
      <c r="D5" s="1032"/>
      <c r="E5" s="1032"/>
      <c r="F5" s="1032"/>
      <c r="G5" s="1032"/>
      <c r="H5" s="237"/>
      <c r="I5" s="237"/>
      <c r="J5" s="238" t="s">
        <v>796</v>
      </c>
      <c r="L5" s="4"/>
    </row>
    <row r="6" spans="1:12" s="30" customFormat="1" ht="21" customHeight="1">
      <c r="A6" s="239">
        <v>1</v>
      </c>
      <c r="B6" s="240" t="s">
        <v>116</v>
      </c>
      <c r="C6" s="239" t="s">
        <v>323</v>
      </c>
      <c r="D6" s="241">
        <f>'Gia_Dcu-Tbi-Vlieu'!$D$40</f>
        <v>15000</v>
      </c>
      <c r="E6" s="242">
        <v>2.5000000000000001E-2</v>
      </c>
      <c r="F6" s="242"/>
      <c r="G6" s="242">
        <v>3.0000000000000001E-3</v>
      </c>
      <c r="H6" s="241">
        <f t="shared" ref="H6:H22" si="0">$D6*E6</f>
        <v>375</v>
      </c>
      <c r="I6" s="241"/>
      <c r="J6" s="241">
        <f t="shared" ref="J6:J22" si="1">$D6*G6</f>
        <v>45</v>
      </c>
      <c r="L6" s="4"/>
    </row>
    <row r="7" spans="1:12" ht="21" customHeight="1">
      <c r="A7" s="239">
        <v>2</v>
      </c>
      <c r="B7" s="240" t="s">
        <v>346</v>
      </c>
      <c r="C7" s="239" t="s">
        <v>347</v>
      </c>
      <c r="D7" s="241">
        <f>'Gia_Dcu-Tbi-Vlieu'!$D$42</f>
        <v>12000</v>
      </c>
      <c r="E7" s="242">
        <v>1.2E-2</v>
      </c>
      <c r="F7" s="242"/>
      <c r="G7" s="242">
        <v>1E-3</v>
      </c>
      <c r="H7" s="241">
        <f t="shared" si="0"/>
        <v>144</v>
      </c>
      <c r="I7" s="241"/>
      <c r="J7" s="241">
        <f t="shared" si="1"/>
        <v>12</v>
      </c>
    </row>
    <row r="8" spans="1:12" ht="21" customHeight="1">
      <c r="A8" s="239">
        <v>3</v>
      </c>
      <c r="B8" s="240" t="s">
        <v>348</v>
      </c>
      <c r="C8" s="239" t="s">
        <v>347</v>
      </c>
      <c r="D8" s="241">
        <f>'Gia_Dcu-Tbi-Vlieu'!$D$43</f>
        <v>3500</v>
      </c>
      <c r="E8" s="242">
        <v>1.7000000000000001E-2</v>
      </c>
      <c r="F8" s="242"/>
      <c r="G8" s="242">
        <v>3.0000000000000001E-3</v>
      </c>
      <c r="H8" s="241">
        <f t="shared" si="0"/>
        <v>59.500000000000007</v>
      </c>
      <c r="I8" s="241"/>
      <c r="J8" s="241">
        <f t="shared" si="1"/>
        <v>10.5</v>
      </c>
    </row>
    <row r="9" spans="1:12" ht="21" customHeight="1">
      <c r="A9" s="239">
        <v>4</v>
      </c>
      <c r="B9" s="240" t="s">
        <v>349</v>
      </c>
      <c r="C9" s="239" t="s">
        <v>347</v>
      </c>
      <c r="D9" s="241">
        <f>'Gia_Dcu-Tbi-Vlieu'!$D$44</f>
        <v>1600000</v>
      </c>
      <c r="E9" s="242">
        <v>6.0000000000000001E-3</v>
      </c>
      <c r="F9" s="242"/>
      <c r="G9" s="242">
        <v>2E-3</v>
      </c>
      <c r="H9" s="241">
        <f t="shared" si="0"/>
        <v>9600</v>
      </c>
      <c r="I9" s="241"/>
      <c r="J9" s="241">
        <f t="shared" si="1"/>
        <v>3200</v>
      </c>
    </row>
    <row r="10" spans="1:12" ht="21" customHeight="1">
      <c r="A10" s="239">
        <v>5</v>
      </c>
      <c r="B10" s="240" t="s">
        <v>350</v>
      </c>
      <c r="C10" s="239" t="s">
        <v>347</v>
      </c>
      <c r="D10" s="241">
        <f>'Gia_Dcu-Tbi-Vlieu'!$D$45</f>
        <v>1600000</v>
      </c>
      <c r="E10" s="242">
        <v>7.0000000000000001E-3</v>
      </c>
      <c r="F10" s="242"/>
      <c r="G10" s="242">
        <v>2E-3</v>
      </c>
      <c r="H10" s="241">
        <f t="shared" si="0"/>
        <v>11200</v>
      </c>
      <c r="I10" s="241"/>
      <c r="J10" s="241">
        <f t="shared" si="1"/>
        <v>3200</v>
      </c>
    </row>
    <row r="11" spans="1:12" ht="21" customHeight="1">
      <c r="A11" s="239">
        <v>6</v>
      </c>
      <c r="B11" s="240" t="s">
        <v>351</v>
      </c>
      <c r="C11" s="239" t="s">
        <v>347</v>
      </c>
      <c r="D11" s="241">
        <f>'Gia_Dcu-Tbi-Vlieu'!$D$46</f>
        <v>2900000</v>
      </c>
      <c r="E11" s="242">
        <v>2E-3</v>
      </c>
      <c r="F11" s="242"/>
      <c r="G11" s="242">
        <v>1E-3</v>
      </c>
      <c r="H11" s="241">
        <f t="shared" si="0"/>
        <v>5800</v>
      </c>
      <c r="I11" s="241"/>
      <c r="J11" s="241">
        <f t="shared" si="1"/>
        <v>2900</v>
      </c>
    </row>
    <row r="12" spans="1:12" ht="21" customHeight="1">
      <c r="A12" s="239">
        <v>8</v>
      </c>
      <c r="B12" s="240" t="s">
        <v>141</v>
      </c>
      <c r="C12" s="239" t="s">
        <v>143</v>
      </c>
      <c r="D12" s="241">
        <f>'Gia_Dcu-Tbi-Vlieu'!$D$47</f>
        <v>8672</v>
      </c>
      <c r="E12" s="242">
        <v>1</v>
      </c>
      <c r="F12" s="242"/>
      <c r="G12" s="242"/>
      <c r="H12" s="241">
        <f t="shared" si="0"/>
        <v>8672</v>
      </c>
      <c r="I12" s="241"/>
      <c r="J12" s="241">
        <f t="shared" si="1"/>
        <v>0</v>
      </c>
    </row>
    <row r="13" spans="1:12" ht="21" customHeight="1">
      <c r="A13" s="239">
        <v>10</v>
      </c>
      <c r="B13" s="240" t="s">
        <v>352</v>
      </c>
      <c r="C13" s="239" t="s">
        <v>353</v>
      </c>
      <c r="D13" s="241">
        <f>'Gia_Dcu-Tbi-Vlieu'!$D$48</f>
        <v>70000</v>
      </c>
      <c r="E13" s="242">
        <v>1.2999999999999999E-2</v>
      </c>
      <c r="F13" s="242"/>
      <c r="G13" s="242">
        <v>3.0000000000000001E-3</v>
      </c>
      <c r="H13" s="241">
        <f>$D13*E13</f>
        <v>910</v>
      </c>
      <c r="I13" s="241"/>
      <c r="J13" s="241">
        <f t="shared" si="1"/>
        <v>210</v>
      </c>
    </row>
    <row r="14" spans="1:12" ht="21" customHeight="1">
      <c r="A14" s="239">
        <v>11</v>
      </c>
      <c r="B14" s="240" t="s">
        <v>354</v>
      </c>
      <c r="C14" s="239" t="s">
        <v>353</v>
      </c>
      <c r="D14" s="241">
        <f>'Gia_Dcu-Tbi-Vlieu'!$D$49</f>
        <v>140000</v>
      </c>
      <c r="E14" s="242">
        <v>1.2E-2</v>
      </c>
      <c r="F14" s="242"/>
      <c r="G14" s="242">
        <v>1.7000000000000001E-2</v>
      </c>
      <c r="H14" s="241">
        <f t="shared" si="0"/>
        <v>1680</v>
      </c>
      <c r="I14" s="241"/>
      <c r="J14" s="241">
        <f t="shared" si="1"/>
        <v>2380</v>
      </c>
    </row>
    <row r="15" spans="1:12" s="30" customFormat="1" ht="21" customHeight="1">
      <c r="A15" s="239">
        <v>13</v>
      </c>
      <c r="B15" s="240" t="s">
        <v>41</v>
      </c>
      <c r="C15" s="239" t="s">
        <v>355</v>
      </c>
      <c r="D15" s="241">
        <f>'Gia_Dcu-Tbi-Vlieu'!$D$50</f>
        <v>5000</v>
      </c>
      <c r="E15" s="242">
        <v>8.5000000000000006E-2</v>
      </c>
      <c r="F15" s="242"/>
      <c r="G15" s="242">
        <v>5.0000000000000001E-3</v>
      </c>
      <c r="H15" s="241">
        <f t="shared" si="0"/>
        <v>425.00000000000006</v>
      </c>
      <c r="I15" s="241"/>
      <c r="J15" s="241">
        <f t="shared" si="1"/>
        <v>25</v>
      </c>
      <c r="L15" s="4"/>
    </row>
    <row r="16" spans="1:12" ht="21" customHeight="1">
      <c r="A16" s="239">
        <v>14</v>
      </c>
      <c r="B16" s="240" t="s">
        <v>356</v>
      </c>
      <c r="C16" s="239" t="s">
        <v>323</v>
      </c>
      <c r="D16" s="241">
        <f>'Gia_Dcu-Tbi-Vlieu'!$D$51</f>
        <v>20000</v>
      </c>
      <c r="E16" s="242">
        <v>1.0999999999999999E-2</v>
      </c>
      <c r="F16" s="242"/>
      <c r="G16" s="242">
        <v>1E-3</v>
      </c>
      <c r="H16" s="241">
        <f t="shared" si="0"/>
        <v>220</v>
      </c>
      <c r="I16" s="241"/>
      <c r="J16" s="241">
        <f t="shared" si="1"/>
        <v>20</v>
      </c>
    </row>
    <row r="17" spans="1:12" ht="21" customHeight="1">
      <c r="A17" s="239">
        <v>15</v>
      </c>
      <c r="B17" s="240" t="s">
        <v>357</v>
      </c>
      <c r="C17" s="239" t="s">
        <v>323</v>
      </c>
      <c r="D17" s="241">
        <f>'Gia_Dcu-Tbi-Vlieu'!$D$52</f>
        <v>10000</v>
      </c>
      <c r="E17" s="242">
        <v>1.0999999999999999E-2</v>
      </c>
      <c r="F17" s="242"/>
      <c r="G17" s="242">
        <v>1E-3</v>
      </c>
      <c r="H17" s="241">
        <f t="shared" si="0"/>
        <v>110</v>
      </c>
      <c r="I17" s="241"/>
      <c r="J17" s="241">
        <f t="shared" si="1"/>
        <v>10</v>
      </c>
    </row>
    <row r="18" spans="1:12" ht="21" customHeight="1">
      <c r="A18" s="239">
        <v>16</v>
      </c>
      <c r="B18" s="240" t="s">
        <v>358</v>
      </c>
      <c r="C18" s="239" t="s">
        <v>359</v>
      </c>
      <c r="D18" s="241">
        <f>'Gia_Dcu-Tbi-Vlieu'!$D$53</f>
        <v>2000</v>
      </c>
      <c r="E18" s="242"/>
      <c r="F18" s="242"/>
      <c r="G18" s="242">
        <v>9.4E-2</v>
      </c>
      <c r="H18" s="241">
        <f t="shared" si="0"/>
        <v>0</v>
      </c>
      <c r="I18" s="241"/>
      <c r="J18" s="241">
        <f t="shared" si="1"/>
        <v>188</v>
      </c>
    </row>
    <row r="19" spans="1:12" ht="21" customHeight="1">
      <c r="A19" s="239">
        <v>17</v>
      </c>
      <c r="B19" s="240" t="s">
        <v>362</v>
      </c>
      <c r="C19" s="239" t="s">
        <v>323</v>
      </c>
      <c r="D19" s="241">
        <f>'Gia_Dcu-Tbi-Vlieu'!$D$58</f>
        <v>3000</v>
      </c>
      <c r="E19" s="242">
        <v>1</v>
      </c>
      <c r="F19" s="242"/>
      <c r="G19" s="242"/>
      <c r="H19" s="241">
        <f t="shared" si="0"/>
        <v>3000</v>
      </c>
      <c r="I19" s="241"/>
      <c r="J19" s="241">
        <f t="shared" si="1"/>
        <v>0</v>
      </c>
    </row>
    <row r="20" spans="1:12" ht="21" customHeight="1">
      <c r="A20" s="239">
        <v>18</v>
      </c>
      <c r="B20" s="240" t="s">
        <v>363</v>
      </c>
      <c r="C20" s="239" t="s">
        <v>347</v>
      </c>
      <c r="D20" s="241">
        <f>'Gia_Dcu-Tbi-Vlieu'!$D$60</f>
        <v>3630000</v>
      </c>
      <c r="E20" s="242">
        <v>1E-3</v>
      </c>
      <c r="F20" s="242"/>
      <c r="G20" s="242">
        <v>1E-3</v>
      </c>
      <c r="H20" s="241">
        <f t="shared" si="0"/>
        <v>3630</v>
      </c>
      <c r="I20" s="241"/>
      <c r="J20" s="241">
        <f t="shared" si="1"/>
        <v>3630</v>
      </c>
    </row>
    <row r="21" spans="1:12" ht="21" customHeight="1">
      <c r="A21" s="239">
        <v>19</v>
      </c>
      <c r="B21" s="240" t="s">
        <v>364</v>
      </c>
      <c r="C21" s="239" t="s">
        <v>143</v>
      </c>
      <c r="D21" s="241">
        <f>'Gia_Dcu-Tbi-Vlieu'!$D$61</f>
        <v>10000</v>
      </c>
      <c r="E21" s="242">
        <v>0.03</v>
      </c>
      <c r="F21" s="242"/>
      <c r="G21" s="242">
        <v>0.09</v>
      </c>
      <c r="H21" s="241">
        <f t="shared" si="0"/>
        <v>300</v>
      </c>
      <c r="I21" s="241"/>
      <c r="J21" s="241">
        <f t="shared" si="1"/>
        <v>900</v>
      </c>
    </row>
    <row r="22" spans="1:12" ht="21" customHeight="1">
      <c r="A22" s="239">
        <v>20</v>
      </c>
      <c r="B22" s="240" t="s">
        <v>365</v>
      </c>
      <c r="C22" s="239" t="s">
        <v>347</v>
      </c>
      <c r="D22" s="241">
        <f>'Gia_Dcu-Tbi-Vlieu'!$D$62</f>
        <v>2200000</v>
      </c>
      <c r="E22" s="242">
        <v>1E-3</v>
      </c>
      <c r="F22" s="242"/>
      <c r="G22" s="242"/>
      <c r="H22" s="241">
        <f t="shared" si="0"/>
        <v>2200</v>
      </c>
      <c r="I22" s="241"/>
      <c r="J22" s="241">
        <f t="shared" si="1"/>
        <v>0</v>
      </c>
    </row>
    <row r="23" spans="1:12" s="11" customFormat="1" ht="21" customHeight="1">
      <c r="A23" s="219"/>
      <c r="B23" s="218" t="s">
        <v>456</v>
      </c>
      <c r="C23" s="219"/>
      <c r="D23" s="220"/>
      <c r="E23" s="221"/>
      <c r="F23" s="221"/>
      <c r="G23" s="222">
        <v>1</v>
      </c>
      <c r="H23" s="243">
        <f>SUM(H6:H22)*$G23</f>
        <v>48325.5</v>
      </c>
      <c r="I23" s="243"/>
      <c r="J23" s="243">
        <f>SUM(J6:J22)*$G23</f>
        <v>16730.5</v>
      </c>
    </row>
    <row r="24" spans="1:12" ht="21" customHeight="1">
      <c r="A24" s="239"/>
      <c r="B24" s="251" t="s">
        <v>294</v>
      </c>
      <c r="C24" s="239"/>
      <c r="D24" s="241"/>
      <c r="E24" s="252"/>
      <c r="F24" s="252"/>
      <c r="G24" s="252"/>
      <c r="H24" s="241"/>
      <c r="I24" s="241"/>
      <c r="J24" s="241"/>
    </row>
    <row r="25" spans="1:12" ht="39" customHeight="1">
      <c r="A25" s="253"/>
      <c r="B25" s="1074" t="s">
        <v>373</v>
      </c>
      <c r="C25" s="1074"/>
      <c r="D25" s="1074"/>
      <c r="E25" s="254"/>
      <c r="F25" s="254"/>
      <c r="G25" s="254"/>
      <c r="H25" s="241"/>
      <c r="I25" s="241"/>
      <c r="J25" s="241"/>
    </row>
    <row r="26" spans="1:12" ht="50.25" hidden="1" customHeight="1">
      <c r="A26" s="253"/>
      <c r="B26" s="1074"/>
      <c r="C26" s="1074"/>
      <c r="D26" s="1074"/>
      <c r="E26" s="254"/>
      <c r="F26" s="255"/>
      <c r="G26" s="254"/>
      <c r="H26" s="241"/>
      <c r="I26" s="241"/>
      <c r="J26" s="241"/>
    </row>
    <row r="27" spans="1:12" s="11" customFormat="1" ht="49.5" customHeight="1">
      <c r="A27" s="253"/>
      <c r="B27" s="1074" t="s">
        <v>797</v>
      </c>
      <c r="C27" s="1074"/>
      <c r="D27" s="1074"/>
      <c r="E27" s="254"/>
      <c r="F27" s="254"/>
      <c r="G27" s="254"/>
      <c r="H27" s="241"/>
      <c r="I27" s="241"/>
      <c r="J27" s="241"/>
      <c r="L27" s="4"/>
    </row>
    <row r="28" spans="1:12" s="30" customFormat="1">
      <c r="A28" s="244"/>
      <c r="B28" s="245"/>
      <c r="C28" s="244"/>
      <c r="D28" s="246"/>
      <c r="E28" s="256"/>
      <c r="F28" s="256"/>
      <c r="G28" s="256"/>
      <c r="H28" s="247"/>
      <c r="I28" s="247"/>
      <c r="J28" s="247"/>
      <c r="L28" s="4"/>
    </row>
    <row r="29" spans="1:12">
      <c r="A29" s="244"/>
      <c r="B29" s="245"/>
      <c r="C29" s="244"/>
      <c r="D29" s="246"/>
      <c r="E29" s="256"/>
      <c r="F29" s="256"/>
      <c r="G29" s="256"/>
      <c r="H29" s="247">
        <f t="shared" ref="H29:J29" si="2">$D29*E29</f>
        <v>0</v>
      </c>
      <c r="I29" s="247">
        <f t="shared" si="2"/>
        <v>0</v>
      </c>
      <c r="J29" s="247">
        <f t="shared" si="2"/>
        <v>0</v>
      </c>
    </row>
    <row r="30" spans="1:12" s="5" customFormat="1" ht="15.65" customHeight="1">
      <c r="A30" s="987" t="s">
        <v>23</v>
      </c>
      <c r="B30" s="987" t="s">
        <v>3</v>
      </c>
      <c r="C30" s="987" t="s">
        <v>38</v>
      </c>
      <c r="D30" s="1012" t="s">
        <v>372</v>
      </c>
      <c r="E30" s="1075" t="s">
        <v>371</v>
      </c>
      <c r="F30" s="1075"/>
      <c r="G30" s="1075"/>
      <c r="H30" s="1075"/>
      <c r="I30" s="869" t="s">
        <v>35</v>
      </c>
      <c r="J30" s="869"/>
      <c r="K30" s="869"/>
      <c r="L30" s="869"/>
    </row>
    <row r="31" spans="1:12" s="5" customFormat="1" ht="33.65" customHeight="1">
      <c r="A31" s="987"/>
      <c r="B31" s="987"/>
      <c r="C31" s="987"/>
      <c r="D31" s="1012"/>
      <c r="E31" s="1076" t="s">
        <v>692</v>
      </c>
      <c r="F31" s="1076"/>
      <c r="G31" s="1075"/>
      <c r="H31" s="1075"/>
      <c r="I31" s="1076" t="s">
        <v>692</v>
      </c>
      <c r="J31" s="1076"/>
      <c r="K31" s="869"/>
      <c r="L31" s="869"/>
    </row>
    <row r="32" spans="1:12" s="5" customFormat="1" ht="30">
      <c r="A32" s="987"/>
      <c r="B32" s="987"/>
      <c r="C32" s="987"/>
      <c r="D32" s="1012"/>
      <c r="E32" s="235" t="s">
        <v>692</v>
      </c>
      <c r="F32" s="235"/>
      <c r="G32" s="235"/>
      <c r="H32" s="235"/>
      <c r="I32" s="235" t="str">
        <f>E32</f>
        <v>Tại địa bàn xã, phường</v>
      </c>
      <c r="J32" s="234"/>
      <c r="K32" s="234"/>
      <c r="L32" s="234"/>
    </row>
    <row r="33" spans="1:14" s="9" customFormat="1" ht="50.25" customHeight="1">
      <c r="A33" s="248" t="str">
        <f>L_CViec!A91</f>
        <v>II</v>
      </c>
      <c r="B33" s="1077" t="str">
        <f>L_CViec!B91</f>
        <v>Đăng ký, cấp Giấy chứng nhận lần đầu đơn lẻ đối với hộ gia đình, cá nhân, cộng đồng dân cư, tổ chức trong nước, người gốc Việt Nam định cư ở nước ngoài tại địa bàn xã, phường</v>
      </c>
      <c r="C33" s="1077"/>
      <c r="D33" s="1077"/>
      <c r="E33" s="1077"/>
      <c r="F33" s="1077"/>
      <c r="G33" s="1077"/>
      <c r="H33" s="249"/>
      <c r="I33" s="249"/>
      <c r="J33" s="249"/>
      <c r="K33" s="249"/>
      <c r="L33" s="820" t="s">
        <v>798</v>
      </c>
      <c r="N33" s="4"/>
    </row>
    <row r="34" spans="1:14" s="30" customFormat="1" ht="20.25" customHeight="1">
      <c r="A34" s="244">
        <v>1</v>
      </c>
      <c r="B34" s="245" t="s">
        <v>116</v>
      </c>
      <c r="C34" s="244" t="s">
        <v>323</v>
      </c>
      <c r="D34" s="212">
        <f>'Gia_Dcu-Tbi-Vlieu'!$D$40</f>
        <v>15000</v>
      </c>
      <c r="E34" s="541">
        <v>4.0000000000000001E-3</v>
      </c>
      <c r="F34" s="250"/>
      <c r="G34" s="250"/>
      <c r="H34" s="250"/>
      <c r="I34" s="247">
        <f>$D34*E34</f>
        <v>60</v>
      </c>
      <c r="J34" s="247">
        <f t="shared" ref="J34:L47" si="3">$D34*F34</f>
        <v>0</v>
      </c>
      <c r="K34" s="247">
        <f t="shared" si="3"/>
        <v>0</v>
      </c>
      <c r="L34" s="247">
        <f t="shared" si="3"/>
        <v>0</v>
      </c>
    </row>
    <row r="35" spans="1:14" ht="20.25" customHeight="1">
      <c r="A35" s="244">
        <v>2</v>
      </c>
      <c r="B35" s="245" t="s">
        <v>346</v>
      </c>
      <c r="C35" s="244" t="s">
        <v>347</v>
      </c>
      <c r="D35" s="212">
        <f>'Gia_Dcu-Tbi-Vlieu'!$D$42</f>
        <v>12000</v>
      </c>
      <c r="E35" s="541">
        <v>2.7E-2</v>
      </c>
      <c r="F35" s="250"/>
      <c r="G35" s="250"/>
      <c r="H35" s="250"/>
      <c r="I35" s="247">
        <f t="shared" ref="I35:I48" si="4">$D35*E35</f>
        <v>324</v>
      </c>
      <c r="J35" s="247">
        <f t="shared" si="3"/>
        <v>0</v>
      </c>
      <c r="K35" s="247">
        <f t="shared" si="3"/>
        <v>0</v>
      </c>
      <c r="L35" s="247">
        <f t="shared" si="3"/>
        <v>0</v>
      </c>
    </row>
    <row r="36" spans="1:14" ht="20.25" customHeight="1">
      <c r="A36" s="244">
        <v>3</v>
      </c>
      <c r="B36" s="245" t="s">
        <v>348</v>
      </c>
      <c r="C36" s="244" t="s">
        <v>347</v>
      </c>
      <c r="D36" s="212">
        <f>'Gia_Dcu-Tbi-Vlieu'!$D$43</f>
        <v>3500</v>
      </c>
      <c r="E36" s="541">
        <v>0.06</v>
      </c>
      <c r="F36" s="250"/>
      <c r="G36" s="250"/>
      <c r="H36" s="250"/>
      <c r="I36" s="247">
        <f t="shared" si="4"/>
        <v>210</v>
      </c>
      <c r="J36" s="247">
        <f t="shared" si="3"/>
        <v>0</v>
      </c>
      <c r="K36" s="247">
        <f t="shared" si="3"/>
        <v>0</v>
      </c>
      <c r="L36" s="247">
        <f t="shared" si="3"/>
        <v>0</v>
      </c>
    </row>
    <row r="37" spans="1:14" ht="20.25" customHeight="1">
      <c r="A37" s="244">
        <v>4</v>
      </c>
      <c r="B37" s="245" t="s">
        <v>349</v>
      </c>
      <c r="C37" s="244" t="s">
        <v>347</v>
      </c>
      <c r="D37" s="212">
        <f>'Gia_Dcu-Tbi-Vlieu'!$D$44</f>
        <v>1600000</v>
      </c>
      <c r="E37" s="541">
        <v>5.0000000000000001E-3</v>
      </c>
      <c r="F37" s="250"/>
      <c r="G37" s="250"/>
      <c r="H37" s="250"/>
      <c r="I37" s="247">
        <f t="shared" si="4"/>
        <v>8000</v>
      </c>
      <c r="J37" s="247">
        <f t="shared" si="3"/>
        <v>0</v>
      </c>
      <c r="K37" s="247">
        <f t="shared" si="3"/>
        <v>0</v>
      </c>
      <c r="L37" s="247">
        <f t="shared" si="3"/>
        <v>0</v>
      </c>
    </row>
    <row r="38" spans="1:14" ht="20.25" customHeight="1">
      <c r="A38" s="244">
        <v>5</v>
      </c>
      <c r="B38" s="245" t="s">
        <v>350</v>
      </c>
      <c r="C38" s="244" t="s">
        <v>347</v>
      </c>
      <c r="D38" s="212">
        <f>'Gia_Dcu-Tbi-Vlieu'!$D$45</f>
        <v>1600000</v>
      </c>
      <c r="E38" s="541">
        <v>8.0000000000000002E-3</v>
      </c>
      <c r="F38" s="250"/>
      <c r="G38" s="250"/>
      <c r="H38" s="250"/>
      <c r="I38" s="247">
        <f t="shared" si="4"/>
        <v>12800</v>
      </c>
      <c r="J38" s="247">
        <f t="shared" si="3"/>
        <v>0</v>
      </c>
      <c r="K38" s="247">
        <f t="shared" si="3"/>
        <v>0</v>
      </c>
      <c r="L38" s="247">
        <f t="shared" si="3"/>
        <v>0</v>
      </c>
    </row>
    <row r="39" spans="1:14" ht="20.25" customHeight="1">
      <c r="A39" s="244">
        <v>6</v>
      </c>
      <c r="B39" s="245" t="s">
        <v>351</v>
      </c>
      <c r="C39" s="244" t="s">
        <v>347</v>
      </c>
      <c r="D39" s="212">
        <f>'Gia_Dcu-Tbi-Vlieu'!$D$46</f>
        <v>2900000</v>
      </c>
      <c r="E39" s="541">
        <v>3.0000000000000001E-3</v>
      </c>
      <c r="F39" s="250"/>
      <c r="G39" s="250"/>
      <c r="H39" s="250"/>
      <c r="I39" s="247">
        <f t="shared" si="4"/>
        <v>8700</v>
      </c>
      <c r="J39" s="247">
        <f t="shared" si="3"/>
        <v>0</v>
      </c>
      <c r="K39" s="247">
        <f t="shared" si="3"/>
        <v>0</v>
      </c>
      <c r="L39" s="247">
        <f t="shared" si="3"/>
        <v>0</v>
      </c>
    </row>
    <row r="40" spans="1:14" ht="20.25" customHeight="1">
      <c r="A40" s="244">
        <v>7</v>
      </c>
      <c r="B40" s="245" t="s">
        <v>141</v>
      </c>
      <c r="C40" s="244" t="s">
        <v>143</v>
      </c>
      <c r="D40" s="212">
        <f>'Gia_Dcu-Tbi-Vlieu'!$D$47</f>
        <v>8672</v>
      </c>
      <c r="E40" s="541">
        <v>1</v>
      </c>
      <c r="F40" s="250"/>
      <c r="G40" s="250"/>
      <c r="H40" s="250"/>
      <c r="I40" s="247">
        <f t="shared" si="4"/>
        <v>8672</v>
      </c>
      <c r="J40" s="247">
        <f t="shared" si="3"/>
        <v>0</v>
      </c>
      <c r="K40" s="247">
        <f t="shared" si="3"/>
        <v>0</v>
      </c>
      <c r="L40" s="247">
        <f t="shared" si="3"/>
        <v>0</v>
      </c>
    </row>
    <row r="41" spans="1:14" s="847" customFormat="1" ht="20.25" customHeight="1">
      <c r="A41" s="665">
        <v>8</v>
      </c>
      <c r="B41" s="842" t="s">
        <v>750</v>
      </c>
      <c r="C41" s="665" t="s">
        <v>143</v>
      </c>
      <c r="D41" s="843">
        <f>'Gia_Dcu-Tbi-Vlieu'!D64:F64</f>
        <v>1000</v>
      </c>
      <c r="E41" s="844">
        <v>1</v>
      </c>
      <c r="F41" s="845"/>
      <c r="G41" s="845"/>
      <c r="H41" s="845"/>
      <c r="I41" s="846">
        <f t="shared" si="4"/>
        <v>1000</v>
      </c>
      <c r="J41" s="846"/>
      <c r="K41" s="846"/>
      <c r="L41" s="846"/>
    </row>
    <row r="42" spans="1:14" ht="20.25" customHeight="1">
      <c r="A42" s="244">
        <v>9</v>
      </c>
      <c r="B42" s="245" t="s">
        <v>352</v>
      </c>
      <c r="C42" s="244" t="s">
        <v>353</v>
      </c>
      <c r="D42" s="212">
        <f>'Gia_Dcu-Tbi-Vlieu'!$D$48</f>
        <v>70000</v>
      </c>
      <c r="E42" s="541">
        <v>3.7999999999999999E-2</v>
      </c>
      <c r="F42" s="250"/>
      <c r="G42" s="250"/>
      <c r="H42" s="250"/>
      <c r="I42" s="247">
        <f t="shared" si="4"/>
        <v>2660</v>
      </c>
      <c r="J42" s="247">
        <f t="shared" si="3"/>
        <v>0</v>
      </c>
      <c r="K42" s="247">
        <f t="shared" si="3"/>
        <v>0</v>
      </c>
      <c r="L42" s="247">
        <f t="shared" si="3"/>
        <v>0</v>
      </c>
    </row>
    <row r="43" spans="1:14" ht="20.25" customHeight="1">
      <c r="A43" s="244">
        <v>10</v>
      </c>
      <c r="B43" s="245" t="s">
        <v>354</v>
      </c>
      <c r="C43" s="244" t="s">
        <v>353</v>
      </c>
      <c r="D43" s="212">
        <f>'Gia_Dcu-Tbi-Vlieu'!$D$49</f>
        <v>140000</v>
      </c>
      <c r="E43" s="541">
        <v>4.0000000000000001E-3</v>
      </c>
      <c r="F43" s="250"/>
      <c r="G43" s="250"/>
      <c r="H43" s="250"/>
      <c r="I43" s="247">
        <f t="shared" si="4"/>
        <v>560</v>
      </c>
      <c r="J43" s="247">
        <f t="shared" si="3"/>
        <v>0</v>
      </c>
      <c r="K43" s="247">
        <f t="shared" si="3"/>
        <v>0</v>
      </c>
      <c r="L43" s="247">
        <f t="shared" si="3"/>
        <v>0</v>
      </c>
    </row>
    <row r="44" spans="1:14" s="847" customFormat="1" ht="20.25" customHeight="1">
      <c r="A44" s="665">
        <v>11</v>
      </c>
      <c r="B44" s="842" t="s">
        <v>751</v>
      </c>
      <c r="C44" s="665" t="s">
        <v>752</v>
      </c>
      <c r="D44" s="843">
        <f>'Gia_Dcu-Tbi-Vlieu'!D65:F65</f>
        <v>10000</v>
      </c>
      <c r="E44" s="844">
        <v>3.0000000000000001E-3</v>
      </c>
      <c r="F44" s="845"/>
      <c r="G44" s="845"/>
      <c r="H44" s="845"/>
      <c r="I44" s="846">
        <f t="shared" si="4"/>
        <v>30</v>
      </c>
      <c r="J44" s="846"/>
      <c r="K44" s="846"/>
      <c r="L44" s="846"/>
    </row>
    <row r="45" spans="1:14" s="30" customFormat="1" ht="20.25" customHeight="1">
      <c r="A45" s="244">
        <v>12</v>
      </c>
      <c r="B45" s="245" t="s">
        <v>41</v>
      </c>
      <c r="C45" s="244" t="s">
        <v>355</v>
      </c>
      <c r="D45" s="212">
        <f>'Gia_Dcu-Tbi-Vlieu'!$D$50</f>
        <v>5000</v>
      </c>
      <c r="E45" s="541">
        <v>2.5999999999999999E-2</v>
      </c>
      <c r="F45" s="250"/>
      <c r="G45" s="250"/>
      <c r="H45" s="250"/>
      <c r="I45" s="247">
        <f t="shared" si="4"/>
        <v>130</v>
      </c>
      <c r="J45" s="247">
        <f t="shared" si="3"/>
        <v>0</v>
      </c>
      <c r="K45" s="247">
        <f t="shared" si="3"/>
        <v>0</v>
      </c>
      <c r="L45" s="247">
        <f t="shared" si="3"/>
        <v>0</v>
      </c>
    </row>
    <row r="46" spans="1:14" ht="20.25" customHeight="1">
      <c r="A46" s="244">
        <v>13</v>
      </c>
      <c r="B46" s="245" t="s">
        <v>356</v>
      </c>
      <c r="C46" s="244" t="s">
        <v>323</v>
      </c>
      <c r="D46" s="212">
        <f>'Gia_Dcu-Tbi-Vlieu'!$D$51</f>
        <v>20000</v>
      </c>
      <c r="E46" s="541">
        <v>2E-3</v>
      </c>
      <c r="F46" s="250"/>
      <c r="G46" s="250"/>
      <c r="H46" s="250"/>
      <c r="I46" s="247">
        <f t="shared" si="4"/>
        <v>40</v>
      </c>
      <c r="J46" s="247">
        <f t="shared" si="3"/>
        <v>0</v>
      </c>
      <c r="K46" s="247">
        <f t="shared" si="3"/>
        <v>0</v>
      </c>
      <c r="L46" s="247">
        <f t="shared" si="3"/>
        <v>0</v>
      </c>
    </row>
    <row r="47" spans="1:14" ht="20.25" customHeight="1">
      <c r="A47" s="244">
        <v>14</v>
      </c>
      <c r="B47" s="245" t="s">
        <v>357</v>
      </c>
      <c r="C47" s="244" t="s">
        <v>323</v>
      </c>
      <c r="D47" s="212">
        <f>'Gia_Dcu-Tbi-Vlieu'!$D$52</f>
        <v>10000</v>
      </c>
      <c r="E47" s="541">
        <v>2E-3</v>
      </c>
      <c r="F47" s="250"/>
      <c r="G47" s="250"/>
      <c r="H47" s="250"/>
      <c r="I47" s="247">
        <f t="shared" si="4"/>
        <v>20</v>
      </c>
      <c r="J47" s="247">
        <f t="shared" si="3"/>
        <v>0</v>
      </c>
      <c r="K47" s="247">
        <f t="shared" si="3"/>
        <v>0</v>
      </c>
      <c r="L47" s="247">
        <f t="shared" si="3"/>
        <v>0</v>
      </c>
    </row>
    <row r="48" spans="1:14" ht="20.25" customHeight="1">
      <c r="A48" s="244">
        <v>15</v>
      </c>
      <c r="B48" s="174" t="s">
        <v>384</v>
      </c>
      <c r="C48" s="244" t="s">
        <v>359</v>
      </c>
      <c r="D48" s="212">
        <f>'Gia_Dcu-Tbi-Vlieu'!$D$54</f>
        <v>770</v>
      </c>
      <c r="E48" s="541">
        <v>1</v>
      </c>
      <c r="F48" s="250"/>
      <c r="G48" s="250"/>
      <c r="H48" s="250"/>
      <c r="I48" s="247">
        <f t="shared" si="4"/>
        <v>770</v>
      </c>
      <c r="J48" s="247">
        <f>$D48*F48</f>
        <v>0</v>
      </c>
      <c r="K48" s="247">
        <f>$D48*G48</f>
        <v>0</v>
      </c>
      <c r="L48" s="247">
        <f>$D48*H48</f>
        <v>0</v>
      </c>
    </row>
    <row r="49" spans="1:12" s="11" customFormat="1" ht="20.25" customHeight="1">
      <c r="A49" s="167"/>
      <c r="B49" s="177" t="s">
        <v>456</v>
      </c>
      <c r="C49" s="167"/>
      <c r="D49" s="178"/>
      <c r="E49" s="216"/>
      <c r="F49" s="216"/>
      <c r="G49" s="216"/>
      <c r="H49" s="217">
        <v>1</v>
      </c>
      <c r="I49" s="179">
        <f>SUM(I34:I48)*$H49</f>
        <v>43976</v>
      </c>
      <c r="J49" s="179"/>
      <c r="K49" s="179"/>
      <c r="L49" s="179"/>
    </row>
    <row r="50" spans="1:12" ht="20.25" customHeight="1">
      <c r="A50" s="244"/>
      <c r="B50" s="257" t="s">
        <v>385</v>
      </c>
      <c r="C50" s="244"/>
      <c r="D50" s="259"/>
      <c r="E50" s="258"/>
      <c r="F50" s="258"/>
      <c r="G50" s="258"/>
      <c r="H50" s="258"/>
      <c r="I50" s="247"/>
      <c r="J50" s="247"/>
      <c r="K50" s="247"/>
      <c r="L50" s="247"/>
    </row>
    <row r="51" spans="1:12" ht="44.25" customHeight="1">
      <c r="A51" s="173"/>
      <c r="B51" s="1078" t="s">
        <v>799</v>
      </c>
      <c r="C51" s="1078"/>
      <c r="D51" s="1078"/>
      <c r="E51" s="260"/>
      <c r="F51" s="260"/>
      <c r="G51" s="260"/>
      <c r="H51" s="260"/>
      <c r="I51" s="247"/>
      <c r="J51" s="247"/>
      <c r="K51" s="247"/>
      <c r="L51" s="247"/>
    </row>
    <row r="52" spans="1:12" s="9" customFormat="1" ht="31.5" customHeight="1">
      <c r="A52" s="236" t="str">
        <f>L_CViec!A156</f>
        <v>III</v>
      </c>
      <c r="B52" s="1032" t="str">
        <f>L_CViec!B156</f>
        <v>Đăng ký, cấp Giấy chứng nhận lần đầu đối với tổ chức, tổ chức tôn giáo, tổ chức tôn giáo trực thuộc đang sử dụng đất</v>
      </c>
      <c r="C52" s="1032"/>
      <c r="D52" s="1032"/>
      <c r="E52" s="1032"/>
      <c r="F52" s="1032"/>
      <c r="G52" s="1032"/>
      <c r="H52" s="237"/>
      <c r="I52" s="237"/>
      <c r="J52" s="821" t="s">
        <v>800</v>
      </c>
      <c r="L52" s="4"/>
    </row>
    <row r="53" spans="1:12" s="9" customFormat="1" ht="48.75" customHeight="1">
      <c r="A53" s="236"/>
      <c r="B53" s="535"/>
      <c r="C53" s="535"/>
      <c r="D53" s="535"/>
      <c r="E53" s="235" t="s">
        <v>692</v>
      </c>
      <c r="F53" s="235"/>
      <c r="G53" s="236" t="s">
        <v>321</v>
      </c>
      <c r="H53" s="235" t="s">
        <v>692</v>
      </c>
      <c r="I53" s="235"/>
      <c r="J53" s="236" t="s">
        <v>321</v>
      </c>
      <c r="L53" s="4"/>
    </row>
    <row r="54" spans="1:12" s="30" customFormat="1" ht="19.5" customHeight="1">
      <c r="A54" s="244">
        <v>1</v>
      </c>
      <c r="B54" s="245" t="s">
        <v>116</v>
      </c>
      <c r="C54" s="244" t="s">
        <v>323</v>
      </c>
      <c r="D54" s="212">
        <f>'Gia_Dcu-Tbi-Vlieu'!$D$40</f>
        <v>15000</v>
      </c>
      <c r="E54" s="250">
        <v>2E-3</v>
      </c>
      <c r="F54" s="250"/>
      <c r="G54" s="250">
        <v>3.0000000000000001E-3</v>
      </c>
      <c r="H54" s="247">
        <f>$D54*E54</f>
        <v>30</v>
      </c>
      <c r="I54" s="247">
        <f t="shared" ref="I54:I68" si="5">$D54*F54</f>
        <v>0</v>
      </c>
      <c r="J54" s="247">
        <f t="shared" ref="J54:J68" si="6">$D54*G54</f>
        <v>45</v>
      </c>
      <c r="L54" s="4"/>
    </row>
    <row r="55" spans="1:12" ht="19.5" customHeight="1">
      <c r="A55" s="244">
        <v>2</v>
      </c>
      <c r="B55" s="245" t="s">
        <v>346</v>
      </c>
      <c r="C55" s="244" t="s">
        <v>347</v>
      </c>
      <c r="D55" s="212">
        <f>'Gia_Dcu-Tbi-Vlieu'!$D$42</f>
        <v>12000</v>
      </c>
      <c r="E55" s="250">
        <v>0.01</v>
      </c>
      <c r="F55" s="250"/>
      <c r="G55" s="250">
        <v>0.03</v>
      </c>
      <c r="H55" s="247">
        <f>$D55*E55</f>
        <v>120</v>
      </c>
      <c r="I55" s="247">
        <f t="shared" si="5"/>
        <v>0</v>
      </c>
      <c r="J55" s="247">
        <f t="shared" si="6"/>
        <v>360</v>
      </c>
    </row>
    <row r="56" spans="1:12" ht="19.5" customHeight="1">
      <c r="A56" s="244">
        <v>3</v>
      </c>
      <c r="B56" s="245" t="s">
        <v>348</v>
      </c>
      <c r="C56" s="244" t="s">
        <v>347</v>
      </c>
      <c r="D56" s="212">
        <f>'Gia_Dcu-Tbi-Vlieu'!$D$43</f>
        <v>3500</v>
      </c>
      <c r="E56" s="250"/>
      <c r="F56" s="250"/>
      <c r="G56" s="250">
        <v>0.04</v>
      </c>
      <c r="H56" s="247">
        <f t="shared" ref="H56:H68" si="7">$D56*E56</f>
        <v>0</v>
      </c>
      <c r="I56" s="247">
        <f t="shared" si="5"/>
        <v>0</v>
      </c>
      <c r="J56" s="247">
        <f t="shared" si="6"/>
        <v>140</v>
      </c>
    </row>
    <row r="57" spans="1:12" ht="19.5" customHeight="1">
      <c r="A57" s="244">
        <v>4</v>
      </c>
      <c r="B57" s="245" t="s">
        <v>349</v>
      </c>
      <c r="C57" s="244" t="s">
        <v>347</v>
      </c>
      <c r="D57" s="212">
        <f>'Gia_Dcu-Tbi-Vlieu'!$D$44</f>
        <v>1600000</v>
      </c>
      <c r="E57" s="250"/>
      <c r="F57" s="250"/>
      <c r="G57" s="250">
        <v>3.0000000000000001E-3</v>
      </c>
      <c r="H57" s="247">
        <f t="shared" si="7"/>
        <v>0</v>
      </c>
      <c r="I57" s="247">
        <f t="shared" si="5"/>
        <v>0</v>
      </c>
      <c r="J57" s="247">
        <f t="shared" si="6"/>
        <v>4800</v>
      </c>
    </row>
    <row r="58" spans="1:12" ht="19.5" customHeight="1">
      <c r="A58" s="244">
        <v>5</v>
      </c>
      <c r="B58" s="245" t="s">
        <v>350</v>
      </c>
      <c r="C58" s="244" t="s">
        <v>347</v>
      </c>
      <c r="D58" s="212">
        <f>'Gia_Dcu-Tbi-Vlieu'!$D$45</f>
        <v>1600000</v>
      </c>
      <c r="E58" s="250"/>
      <c r="F58" s="250"/>
      <c r="G58" s="250">
        <v>5.0000000000000001E-3</v>
      </c>
      <c r="H58" s="247">
        <f t="shared" si="7"/>
        <v>0</v>
      </c>
      <c r="I58" s="247">
        <f t="shared" si="5"/>
        <v>0</v>
      </c>
      <c r="J58" s="247">
        <f t="shared" si="6"/>
        <v>8000</v>
      </c>
    </row>
    <row r="59" spans="1:12" ht="19.5" customHeight="1">
      <c r="A59" s="244">
        <v>6</v>
      </c>
      <c r="B59" s="245" t="s">
        <v>351</v>
      </c>
      <c r="C59" s="244" t="s">
        <v>347</v>
      </c>
      <c r="D59" s="212">
        <f>'Gia_Dcu-Tbi-Vlieu'!$D$46</f>
        <v>2900000</v>
      </c>
      <c r="E59" s="250"/>
      <c r="F59" s="250"/>
      <c r="G59" s="250">
        <v>3.0000000000000001E-3</v>
      </c>
      <c r="H59" s="247">
        <f t="shared" si="7"/>
        <v>0</v>
      </c>
      <c r="I59" s="247">
        <f t="shared" si="5"/>
        <v>0</v>
      </c>
      <c r="J59" s="247">
        <f t="shared" si="6"/>
        <v>8700</v>
      </c>
    </row>
    <row r="60" spans="1:12" ht="19.5" customHeight="1">
      <c r="A60" s="244">
        <v>7</v>
      </c>
      <c r="B60" s="245" t="s">
        <v>141</v>
      </c>
      <c r="C60" s="244" t="s">
        <v>143</v>
      </c>
      <c r="D60" s="212">
        <f>'Gia_Dcu-Tbi-Vlieu'!$D$47</f>
        <v>8672</v>
      </c>
      <c r="E60" s="250"/>
      <c r="F60" s="250"/>
      <c r="G60" s="250">
        <v>1</v>
      </c>
      <c r="H60" s="247">
        <f t="shared" si="7"/>
        <v>0</v>
      </c>
      <c r="I60" s="247">
        <f t="shared" si="5"/>
        <v>0</v>
      </c>
      <c r="J60" s="247">
        <f t="shared" si="6"/>
        <v>8672</v>
      </c>
    </row>
    <row r="61" spans="1:12" s="847" customFormat="1" ht="19.5" customHeight="1">
      <c r="A61" s="665">
        <v>8</v>
      </c>
      <c r="B61" s="842" t="s">
        <v>750</v>
      </c>
      <c r="C61" s="665" t="s">
        <v>143</v>
      </c>
      <c r="D61" s="843">
        <f>'Gia_Dcu-Tbi-Vlieu'!D64:F64</f>
        <v>1000</v>
      </c>
      <c r="E61" s="845"/>
      <c r="F61" s="845"/>
      <c r="G61" s="845">
        <v>1</v>
      </c>
      <c r="H61" s="846"/>
      <c r="I61" s="846"/>
      <c r="J61" s="846">
        <f t="shared" si="6"/>
        <v>1000</v>
      </c>
    </row>
    <row r="62" spans="1:12" ht="19.5" customHeight="1">
      <c r="A62" s="244">
        <v>9</v>
      </c>
      <c r="B62" s="245" t="s">
        <v>352</v>
      </c>
      <c r="C62" s="244" t="s">
        <v>353</v>
      </c>
      <c r="D62" s="212">
        <f>'Gia_Dcu-Tbi-Vlieu'!$D$48</f>
        <v>70000</v>
      </c>
      <c r="E62" s="250">
        <v>1.2E-2</v>
      </c>
      <c r="F62" s="250"/>
      <c r="G62" s="250">
        <v>0.04</v>
      </c>
      <c r="H62" s="247">
        <f>$D62*E62</f>
        <v>840</v>
      </c>
      <c r="I62" s="247">
        <f t="shared" si="5"/>
        <v>0</v>
      </c>
      <c r="J62" s="247">
        <f t="shared" si="6"/>
        <v>2800</v>
      </c>
    </row>
    <row r="63" spans="1:12" ht="19.5" customHeight="1">
      <c r="A63" s="244">
        <v>10</v>
      </c>
      <c r="B63" s="245" t="s">
        <v>354</v>
      </c>
      <c r="C63" s="244" t="s">
        <v>353</v>
      </c>
      <c r="D63" s="212">
        <f>'Gia_Dcu-Tbi-Vlieu'!$D$49</f>
        <v>140000</v>
      </c>
      <c r="E63" s="250"/>
      <c r="F63" s="250"/>
      <c r="G63" s="250">
        <v>4.0000000000000001E-3</v>
      </c>
      <c r="H63" s="247">
        <f t="shared" si="7"/>
        <v>0</v>
      </c>
      <c r="I63" s="247">
        <f t="shared" si="5"/>
        <v>0</v>
      </c>
      <c r="J63" s="247">
        <f t="shared" si="6"/>
        <v>560</v>
      </c>
    </row>
    <row r="64" spans="1:12" s="847" customFormat="1" ht="19.5" customHeight="1">
      <c r="A64" s="665">
        <v>11</v>
      </c>
      <c r="B64" s="842" t="s">
        <v>751</v>
      </c>
      <c r="C64" s="665" t="s">
        <v>752</v>
      </c>
      <c r="D64" s="843">
        <f>'Gia_Dcu-Tbi-Vlieu'!D65:F65</f>
        <v>10000</v>
      </c>
      <c r="E64" s="845"/>
      <c r="F64" s="845"/>
      <c r="G64" s="845">
        <v>3.0000000000000001E-3</v>
      </c>
      <c r="H64" s="846"/>
      <c r="I64" s="846"/>
      <c r="J64" s="846">
        <f t="shared" si="6"/>
        <v>30</v>
      </c>
    </row>
    <row r="65" spans="1:12" s="30" customFormat="1" ht="19.5" customHeight="1">
      <c r="A65" s="244">
        <v>12</v>
      </c>
      <c r="B65" s="245" t="s">
        <v>41</v>
      </c>
      <c r="C65" s="244" t="s">
        <v>355</v>
      </c>
      <c r="D65" s="212">
        <f>'Gia_Dcu-Tbi-Vlieu'!$D$50</f>
        <v>5000</v>
      </c>
      <c r="E65" s="250">
        <v>0.01</v>
      </c>
      <c r="F65" s="250"/>
      <c r="G65" s="250">
        <v>1.4999999999999999E-2</v>
      </c>
      <c r="H65" s="247">
        <f t="shared" si="7"/>
        <v>50</v>
      </c>
      <c r="I65" s="247">
        <f t="shared" si="5"/>
        <v>0</v>
      </c>
      <c r="J65" s="247">
        <f t="shared" si="6"/>
        <v>75</v>
      </c>
      <c r="L65" s="4"/>
    </row>
    <row r="66" spans="1:12" ht="19.5" customHeight="1">
      <c r="A66" s="244">
        <v>13</v>
      </c>
      <c r="B66" s="245" t="s">
        <v>356</v>
      </c>
      <c r="C66" s="244" t="s">
        <v>323</v>
      </c>
      <c r="D66" s="212">
        <f>'Gia_Dcu-Tbi-Vlieu'!$D$51</f>
        <v>20000</v>
      </c>
      <c r="E66" s="250"/>
      <c r="F66" s="250"/>
      <c r="G66" s="250">
        <v>2E-3</v>
      </c>
      <c r="H66" s="247">
        <f t="shared" si="7"/>
        <v>0</v>
      </c>
      <c r="I66" s="247">
        <f t="shared" si="5"/>
        <v>0</v>
      </c>
      <c r="J66" s="247">
        <f t="shared" si="6"/>
        <v>40</v>
      </c>
    </row>
    <row r="67" spans="1:12" ht="19.5" customHeight="1">
      <c r="A67" s="244">
        <v>14</v>
      </c>
      <c r="B67" s="245" t="s">
        <v>357</v>
      </c>
      <c r="C67" s="244" t="s">
        <v>323</v>
      </c>
      <c r="D67" s="212">
        <f>'Gia_Dcu-Tbi-Vlieu'!$D$52</f>
        <v>10000</v>
      </c>
      <c r="E67" s="250"/>
      <c r="F67" s="250"/>
      <c r="G67" s="250">
        <v>2E-3</v>
      </c>
      <c r="H67" s="247">
        <f t="shared" si="7"/>
        <v>0</v>
      </c>
      <c r="I67" s="247">
        <f t="shared" si="5"/>
        <v>0</v>
      </c>
      <c r="J67" s="247">
        <f t="shared" si="6"/>
        <v>20</v>
      </c>
    </row>
    <row r="68" spans="1:12" ht="19.5" customHeight="1">
      <c r="A68" s="244">
        <v>15</v>
      </c>
      <c r="B68" s="174" t="s">
        <v>384</v>
      </c>
      <c r="C68" s="244" t="s">
        <v>359</v>
      </c>
      <c r="D68" s="212">
        <f>'Gia_Dcu-Tbi-Vlieu'!$D$54</f>
        <v>770</v>
      </c>
      <c r="E68" s="250"/>
      <c r="F68" s="250"/>
      <c r="G68" s="250">
        <v>1</v>
      </c>
      <c r="H68" s="247">
        <f t="shared" si="7"/>
        <v>0</v>
      </c>
      <c r="I68" s="247">
        <f t="shared" si="5"/>
        <v>0</v>
      </c>
      <c r="J68" s="247">
        <f t="shared" si="6"/>
        <v>770</v>
      </c>
    </row>
    <row r="69" spans="1:12" s="11" customFormat="1" ht="19.5" customHeight="1">
      <c r="A69" s="167"/>
      <c r="B69" s="177" t="s">
        <v>456</v>
      </c>
      <c r="C69" s="167"/>
      <c r="D69" s="178"/>
      <c r="E69" s="216"/>
      <c r="F69" s="216"/>
      <c r="G69" s="217">
        <v>1</v>
      </c>
      <c r="H69" s="179">
        <f>SUM(H54:H68)*$G69</f>
        <v>1040</v>
      </c>
      <c r="I69" s="179">
        <f>SUM(I54:I68)*$G69</f>
        <v>0</v>
      </c>
      <c r="J69" s="179">
        <f>SUM(J54:J68)*$G69</f>
        <v>36012</v>
      </c>
    </row>
    <row r="70" spans="1:12" ht="19.5" customHeight="1">
      <c r="A70" s="244"/>
      <c r="B70" s="1080" t="s">
        <v>801</v>
      </c>
      <c r="C70" s="1080"/>
      <c r="D70" s="1080"/>
      <c r="E70" s="1080"/>
      <c r="F70" s="1080"/>
      <c r="G70" s="1080"/>
      <c r="H70" s="1080"/>
      <c r="I70" s="1080"/>
      <c r="J70" s="1080"/>
    </row>
    <row r="71" spans="1:12">
      <c r="A71" s="261"/>
      <c r="B71" s="262"/>
      <c r="C71" s="261"/>
      <c r="D71" s="263"/>
      <c r="E71" s="264"/>
      <c r="F71" s="264"/>
      <c r="G71" s="264"/>
      <c r="H71" s="265"/>
      <c r="I71" s="265"/>
      <c r="J71" s="265"/>
    </row>
    <row r="72" spans="1:12" s="9" customFormat="1">
      <c r="A72" s="236" t="str">
        <f>L_CViec!A202</f>
        <v>IV</v>
      </c>
      <c r="B72" s="1032" t="str">
        <f>L_CViec!B202</f>
        <v>Đăng ký, cấp đổi Giấy chứng nhận đồng loạt tại xã, phường</v>
      </c>
      <c r="C72" s="1032"/>
      <c r="D72" s="1032"/>
      <c r="E72" s="1032"/>
      <c r="F72" s="1032"/>
      <c r="G72" s="1032"/>
      <c r="H72" s="237"/>
      <c r="I72" s="237"/>
      <c r="J72" s="821" t="s">
        <v>430</v>
      </c>
      <c r="K72" s="270"/>
      <c r="L72" s="4"/>
    </row>
    <row r="73" spans="1:12" s="9" customFormat="1" ht="44.25" customHeight="1">
      <c r="A73" s="236"/>
      <c r="B73" s="535"/>
      <c r="C73" s="535"/>
      <c r="D73" s="535"/>
      <c r="E73" s="235" t="s">
        <v>692</v>
      </c>
      <c r="F73" s="235"/>
      <c r="G73" s="236" t="s">
        <v>321</v>
      </c>
      <c r="H73" s="235" t="s">
        <v>692</v>
      </c>
      <c r="I73" s="235"/>
      <c r="J73" s="236" t="s">
        <v>321</v>
      </c>
      <c r="K73" s="270"/>
      <c r="L73" s="4"/>
    </row>
    <row r="74" spans="1:12" s="30" customFormat="1" ht="18.75" customHeight="1">
      <c r="A74" s="244">
        <v>1</v>
      </c>
      <c r="B74" s="245" t="s">
        <v>116</v>
      </c>
      <c r="C74" s="244" t="s">
        <v>323</v>
      </c>
      <c r="D74" s="212">
        <f>'Gia_Dcu-Tbi-Vlieu'!$D$40</f>
        <v>15000</v>
      </c>
      <c r="E74" s="250">
        <v>0.02</v>
      </c>
      <c r="F74" s="250"/>
      <c r="G74" s="250">
        <v>2E-3</v>
      </c>
      <c r="H74" s="247">
        <f t="shared" ref="H74:H91" si="8">$D74*E74</f>
        <v>300</v>
      </c>
      <c r="I74" s="247">
        <f t="shared" ref="I74:I91" si="9">$D74*F74</f>
        <v>0</v>
      </c>
      <c r="J74" s="247">
        <f t="shared" ref="J74:J91" si="10">$D74*G74</f>
        <v>30</v>
      </c>
      <c r="K74" s="271"/>
      <c r="L74" s="4"/>
    </row>
    <row r="75" spans="1:12" ht="18.75" customHeight="1">
      <c r="A75" s="244">
        <v>2</v>
      </c>
      <c r="B75" s="245" t="s">
        <v>346</v>
      </c>
      <c r="C75" s="244" t="s">
        <v>347</v>
      </c>
      <c r="D75" s="212">
        <f>'Gia_Dcu-Tbi-Vlieu'!$D$42</f>
        <v>12000</v>
      </c>
      <c r="E75" s="250">
        <v>8.0000000000000002E-3</v>
      </c>
      <c r="F75" s="250"/>
      <c r="G75" s="250">
        <v>1E-3</v>
      </c>
      <c r="H75" s="247">
        <f t="shared" si="8"/>
        <v>96</v>
      </c>
      <c r="I75" s="247">
        <f t="shared" si="9"/>
        <v>0</v>
      </c>
      <c r="J75" s="247">
        <f t="shared" si="10"/>
        <v>12</v>
      </c>
      <c r="K75" s="272"/>
    </row>
    <row r="76" spans="1:12" ht="18.75" customHeight="1">
      <c r="A76" s="244">
        <v>3</v>
      </c>
      <c r="B76" s="245" t="s">
        <v>348</v>
      </c>
      <c r="C76" s="244" t="s">
        <v>347</v>
      </c>
      <c r="D76" s="212">
        <f>'Gia_Dcu-Tbi-Vlieu'!$D$43</f>
        <v>3500</v>
      </c>
      <c r="E76" s="250">
        <v>1.2999999999999999E-2</v>
      </c>
      <c r="F76" s="250"/>
      <c r="G76" s="250">
        <v>2E-3</v>
      </c>
      <c r="H76" s="247">
        <f t="shared" si="8"/>
        <v>45.5</v>
      </c>
      <c r="I76" s="247">
        <f t="shared" si="9"/>
        <v>0</v>
      </c>
      <c r="J76" s="247">
        <f t="shared" si="10"/>
        <v>7</v>
      </c>
      <c r="K76" s="272"/>
    </row>
    <row r="77" spans="1:12" ht="18.75" customHeight="1">
      <c r="A77" s="244">
        <v>4</v>
      </c>
      <c r="B77" s="245" t="s">
        <v>349</v>
      </c>
      <c r="C77" s="244" t="s">
        <v>347</v>
      </c>
      <c r="D77" s="212">
        <f>'Gia_Dcu-Tbi-Vlieu'!$D$44</f>
        <v>1600000</v>
      </c>
      <c r="E77" s="250">
        <v>2E-3</v>
      </c>
      <c r="F77" s="250"/>
      <c r="G77" s="250">
        <v>1E-3</v>
      </c>
      <c r="H77" s="247">
        <f t="shared" si="8"/>
        <v>3200</v>
      </c>
      <c r="I77" s="247">
        <f t="shared" si="9"/>
        <v>0</v>
      </c>
      <c r="J77" s="247">
        <f t="shared" si="10"/>
        <v>1600</v>
      </c>
      <c r="K77" s="272"/>
    </row>
    <row r="78" spans="1:12" ht="18.75" customHeight="1">
      <c r="A78" s="244">
        <v>5</v>
      </c>
      <c r="B78" s="245" t="s">
        <v>350</v>
      </c>
      <c r="C78" s="244" t="s">
        <v>347</v>
      </c>
      <c r="D78" s="212">
        <f>'Gia_Dcu-Tbi-Vlieu'!$D$45</f>
        <v>1600000</v>
      </c>
      <c r="E78" s="250">
        <v>2E-3</v>
      </c>
      <c r="F78" s="250"/>
      <c r="G78" s="250">
        <v>4.0000000000000001E-3</v>
      </c>
      <c r="H78" s="247">
        <f t="shared" si="8"/>
        <v>3200</v>
      </c>
      <c r="I78" s="247">
        <f t="shared" si="9"/>
        <v>0</v>
      </c>
      <c r="J78" s="247">
        <f t="shared" si="10"/>
        <v>6400</v>
      </c>
      <c r="K78" s="272"/>
    </row>
    <row r="79" spans="1:12" ht="18.75" customHeight="1">
      <c r="A79" s="244">
        <v>6</v>
      </c>
      <c r="B79" s="245" t="s">
        <v>351</v>
      </c>
      <c r="C79" s="244" t="s">
        <v>347</v>
      </c>
      <c r="D79" s="212">
        <f>'Gia_Dcu-Tbi-Vlieu'!$D$46</f>
        <v>2900000</v>
      </c>
      <c r="E79" s="250">
        <v>2E-3</v>
      </c>
      <c r="F79" s="250"/>
      <c r="G79" s="250">
        <v>1E-3</v>
      </c>
      <c r="H79" s="247">
        <f t="shared" si="8"/>
        <v>5800</v>
      </c>
      <c r="I79" s="247">
        <f t="shared" si="9"/>
        <v>0</v>
      </c>
      <c r="J79" s="247">
        <f t="shared" si="10"/>
        <v>2900</v>
      </c>
      <c r="K79" s="272"/>
    </row>
    <row r="80" spans="1:12" ht="18.75" customHeight="1">
      <c r="A80" s="244">
        <v>7</v>
      </c>
      <c r="B80" s="245" t="s">
        <v>141</v>
      </c>
      <c r="C80" s="244" t="s">
        <v>143</v>
      </c>
      <c r="D80" s="212">
        <f>'Gia_Dcu-Tbi-Vlieu'!$D$47</f>
        <v>8672</v>
      </c>
      <c r="E80" s="250">
        <v>1</v>
      </c>
      <c r="F80" s="250"/>
      <c r="G80" s="250"/>
      <c r="H80" s="247">
        <f t="shared" si="8"/>
        <v>8672</v>
      </c>
      <c r="I80" s="247">
        <f t="shared" si="9"/>
        <v>0</v>
      </c>
      <c r="J80" s="247">
        <f t="shared" si="10"/>
        <v>0</v>
      </c>
      <c r="K80" s="272"/>
    </row>
    <row r="81" spans="1:12" ht="18.75" customHeight="1">
      <c r="A81" s="244">
        <v>8</v>
      </c>
      <c r="B81" s="245" t="s">
        <v>352</v>
      </c>
      <c r="C81" s="244" t="s">
        <v>353</v>
      </c>
      <c r="D81" s="212">
        <f>'Gia_Dcu-Tbi-Vlieu'!$D$48</f>
        <v>70000</v>
      </c>
      <c r="E81" s="250">
        <v>8.0000000000000002E-3</v>
      </c>
      <c r="F81" s="250"/>
      <c r="G81" s="250">
        <v>2E-3</v>
      </c>
      <c r="H81" s="247">
        <f t="shared" si="8"/>
        <v>560</v>
      </c>
      <c r="I81" s="247">
        <f t="shared" si="9"/>
        <v>0</v>
      </c>
      <c r="J81" s="247">
        <f t="shared" si="10"/>
        <v>140</v>
      </c>
      <c r="K81" s="272"/>
    </row>
    <row r="82" spans="1:12" ht="18.75" customHeight="1">
      <c r="A82" s="244">
        <v>9</v>
      </c>
      <c r="B82" s="245" t="s">
        <v>354</v>
      </c>
      <c r="C82" s="244" t="s">
        <v>353</v>
      </c>
      <c r="D82" s="212">
        <f>'Gia_Dcu-Tbi-Vlieu'!$D$49</f>
        <v>140000</v>
      </c>
      <c r="E82" s="250">
        <v>1E-3</v>
      </c>
      <c r="F82" s="250"/>
      <c r="G82" s="250">
        <v>1.4E-2</v>
      </c>
      <c r="H82" s="247">
        <f t="shared" si="8"/>
        <v>140</v>
      </c>
      <c r="I82" s="247">
        <f t="shared" si="9"/>
        <v>0</v>
      </c>
      <c r="J82" s="247">
        <f t="shared" si="10"/>
        <v>1960</v>
      </c>
      <c r="K82" s="272"/>
    </row>
    <row r="83" spans="1:12" s="847" customFormat="1" ht="18.75" customHeight="1">
      <c r="A83" s="665">
        <v>10</v>
      </c>
      <c r="B83" s="842" t="s">
        <v>751</v>
      </c>
      <c r="C83" s="665" t="s">
        <v>752</v>
      </c>
      <c r="D83" s="843">
        <f>'Gia_Dcu-Tbi-Vlieu'!D65:F65</f>
        <v>10000</v>
      </c>
      <c r="E83" s="845">
        <v>0.01</v>
      </c>
      <c r="F83" s="845"/>
      <c r="G83" s="845">
        <v>2E-3</v>
      </c>
      <c r="H83" s="846">
        <f t="shared" si="8"/>
        <v>100</v>
      </c>
      <c r="I83" s="846"/>
      <c r="J83" s="846">
        <f t="shared" si="10"/>
        <v>20</v>
      </c>
      <c r="K83" s="848"/>
    </row>
    <row r="84" spans="1:12" s="30" customFormat="1" ht="18.75" customHeight="1">
      <c r="A84" s="244">
        <v>11</v>
      </c>
      <c r="B84" s="245" t="s">
        <v>41</v>
      </c>
      <c r="C84" s="244" t="s">
        <v>355</v>
      </c>
      <c r="D84" s="212">
        <f>'Gia_Dcu-Tbi-Vlieu'!$D$50</f>
        <v>5000</v>
      </c>
      <c r="E84" s="250">
        <v>0.02</v>
      </c>
      <c r="F84" s="250"/>
      <c r="G84" s="250">
        <v>4.0000000000000001E-3</v>
      </c>
      <c r="H84" s="247">
        <f t="shared" si="8"/>
        <v>100</v>
      </c>
      <c r="I84" s="247">
        <f t="shared" si="9"/>
        <v>0</v>
      </c>
      <c r="J84" s="247">
        <f t="shared" si="10"/>
        <v>20</v>
      </c>
      <c r="K84" s="271"/>
      <c r="L84" s="4"/>
    </row>
    <row r="85" spans="1:12" ht="18.75" customHeight="1">
      <c r="A85" s="244">
        <v>12</v>
      </c>
      <c r="B85" s="245" t="s">
        <v>356</v>
      </c>
      <c r="C85" s="244" t="s">
        <v>323</v>
      </c>
      <c r="D85" s="212">
        <f>'Gia_Dcu-Tbi-Vlieu'!$D$51</f>
        <v>20000</v>
      </c>
      <c r="E85" s="250">
        <v>8.0000000000000002E-3</v>
      </c>
      <c r="F85" s="250"/>
      <c r="G85" s="250">
        <v>1E-3</v>
      </c>
      <c r="H85" s="247">
        <f t="shared" si="8"/>
        <v>160</v>
      </c>
      <c r="I85" s="247">
        <f t="shared" si="9"/>
        <v>0</v>
      </c>
      <c r="J85" s="247">
        <f t="shared" si="10"/>
        <v>20</v>
      </c>
      <c r="K85" s="272"/>
    </row>
    <row r="86" spans="1:12" ht="18.75" customHeight="1">
      <c r="A86" s="244">
        <v>13</v>
      </c>
      <c r="B86" s="245" t="s">
        <v>357</v>
      </c>
      <c r="C86" s="244" t="s">
        <v>323</v>
      </c>
      <c r="D86" s="212">
        <f>'Gia_Dcu-Tbi-Vlieu'!$D$52</f>
        <v>10000</v>
      </c>
      <c r="E86" s="250">
        <v>8.0000000000000002E-3</v>
      </c>
      <c r="F86" s="250"/>
      <c r="G86" s="250">
        <v>1E-3</v>
      </c>
      <c r="H86" s="247">
        <f t="shared" si="8"/>
        <v>80</v>
      </c>
      <c r="I86" s="247">
        <f t="shared" si="9"/>
        <v>0</v>
      </c>
      <c r="J86" s="247">
        <f t="shared" si="10"/>
        <v>10</v>
      </c>
      <c r="K86" s="272"/>
    </row>
    <row r="87" spans="1:12" ht="18.75" customHeight="1">
      <c r="A87" s="244">
        <v>14</v>
      </c>
      <c r="B87" s="245" t="s">
        <v>358</v>
      </c>
      <c r="C87" s="244" t="s">
        <v>359</v>
      </c>
      <c r="D87" s="212">
        <f>'Gia_Dcu-Tbi-Vlieu'!$D$53</f>
        <v>2000</v>
      </c>
      <c r="E87" s="250"/>
      <c r="F87" s="250"/>
      <c r="G87" s="250">
        <v>3.4000000000000002E-2</v>
      </c>
      <c r="H87" s="247">
        <f t="shared" si="8"/>
        <v>0</v>
      </c>
      <c r="I87" s="247">
        <f t="shared" si="9"/>
        <v>0</v>
      </c>
      <c r="J87" s="247">
        <f t="shared" si="10"/>
        <v>68</v>
      </c>
      <c r="K87" s="272"/>
    </row>
    <row r="88" spans="1:12" ht="18.75" customHeight="1">
      <c r="A88" s="244">
        <v>15</v>
      </c>
      <c r="B88" s="245" t="s">
        <v>362</v>
      </c>
      <c r="C88" s="244" t="s">
        <v>323</v>
      </c>
      <c r="D88" s="212">
        <f>'Gia_Dcu-Tbi-Vlieu'!$D$58</f>
        <v>3000</v>
      </c>
      <c r="E88" s="250">
        <v>1</v>
      </c>
      <c r="F88" s="250"/>
      <c r="G88" s="250"/>
      <c r="H88" s="247">
        <f t="shared" si="8"/>
        <v>3000</v>
      </c>
      <c r="I88" s="247">
        <f t="shared" si="9"/>
        <v>0</v>
      </c>
      <c r="J88" s="247">
        <f t="shared" si="10"/>
        <v>0</v>
      </c>
      <c r="K88" s="272"/>
    </row>
    <row r="89" spans="1:12" ht="18.75" customHeight="1">
      <c r="A89" s="244">
        <v>16</v>
      </c>
      <c r="B89" s="245" t="s">
        <v>363</v>
      </c>
      <c r="C89" s="244" t="s">
        <v>347</v>
      </c>
      <c r="D89" s="212">
        <f>'Gia_Dcu-Tbi-Vlieu'!$D$60</f>
        <v>3630000</v>
      </c>
      <c r="E89" s="250"/>
      <c r="F89" s="250"/>
      <c r="G89" s="250">
        <v>1E-3</v>
      </c>
      <c r="H89" s="247">
        <f t="shared" si="8"/>
        <v>0</v>
      </c>
      <c r="I89" s="247">
        <f t="shared" si="9"/>
        <v>0</v>
      </c>
      <c r="J89" s="247">
        <f t="shared" si="10"/>
        <v>3630</v>
      </c>
      <c r="K89" s="272"/>
    </row>
    <row r="90" spans="1:12" ht="18.75" customHeight="1">
      <c r="A90" s="244">
        <v>17</v>
      </c>
      <c r="B90" s="245" t="s">
        <v>364</v>
      </c>
      <c r="C90" s="244" t="s">
        <v>143</v>
      </c>
      <c r="D90" s="212">
        <f>'Gia_Dcu-Tbi-Vlieu'!$D$61</f>
        <v>10000</v>
      </c>
      <c r="E90" s="250">
        <v>2.4E-2</v>
      </c>
      <c r="F90" s="250"/>
      <c r="G90" s="250">
        <v>7.1999999999999995E-2</v>
      </c>
      <c r="H90" s="247">
        <f t="shared" si="8"/>
        <v>240</v>
      </c>
      <c r="I90" s="247">
        <f t="shared" si="9"/>
        <v>0</v>
      </c>
      <c r="J90" s="247">
        <f t="shared" si="10"/>
        <v>720</v>
      </c>
      <c r="K90" s="272"/>
    </row>
    <row r="91" spans="1:12" ht="18.75" customHeight="1">
      <c r="A91" s="244">
        <v>18</v>
      </c>
      <c r="B91" s="245" t="s">
        <v>365</v>
      </c>
      <c r="C91" s="244" t="s">
        <v>347</v>
      </c>
      <c r="D91" s="212">
        <f>'Gia_Dcu-Tbi-Vlieu'!$D$62</f>
        <v>2200000</v>
      </c>
      <c r="E91" s="250">
        <v>1E-3</v>
      </c>
      <c r="F91" s="250"/>
      <c r="G91" s="250"/>
      <c r="H91" s="247">
        <f t="shared" si="8"/>
        <v>2200</v>
      </c>
      <c r="I91" s="247">
        <f t="shared" si="9"/>
        <v>0</v>
      </c>
      <c r="J91" s="247">
        <f t="shared" si="10"/>
        <v>0</v>
      </c>
      <c r="K91" s="272"/>
    </row>
    <row r="92" spans="1:12" s="11" customFormat="1" ht="18.75" customHeight="1">
      <c r="A92" s="167"/>
      <c r="B92" s="177" t="s">
        <v>456</v>
      </c>
      <c r="C92" s="167"/>
      <c r="D92" s="178"/>
      <c r="E92" s="216"/>
      <c r="F92" s="216"/>
      <c r="G92" s="217">
        <v>1</v>
      </c>
      <c r="H92" s="179">
        <f>SUM(H74:H91)*$G92</f>
        <v>27893.5</v>
      </c>
      <c r="I92" s="179">
        <f>SUM(I74:I91)*$G92</f>
        <v>0</v>
      </c>
      <c r="J92" s="179">
        <f>SUM(J74:J91)*$G92</f>
        <v>17537</v>
      </c>
      <c r="K92" s="273"/>
    </row>
    <row r="93" spans="1:12" ht="18.75" customHeight="1">
      <c r="A93" s="244"/>
      <c r="B93" s="257" t="s">
        <v>294</v>
      </c>
      <c r="C93" s="244"/>
      <c r="D93" s="246"/>
      <c r="E93" s="258"/>
      <c r="F93" s="258"/>
      <c r="G93" s="258"/>
      <c r="H93" s="247"/>
      <c r="I93" s="247"/>
      <c r="J93" s="247"/>
      <c r="K93" s="272"/>
    </row>
    <row r="94" spans="1:12" ht="37.5" customHeight="1">
      <c r="A94" s="244"/>
      <c r="B94" s="1071" t="s">
        <v>373</v>
      </c>
      <c r="C94" s="1071"/>
      <c r="D94" s="1071"/>
      <c r="E94" s="258"/>
      <c r="F94" s="266"/>
      <c r="G94" s="258"/>
      <c r="H94" s="247"/>
      <c r="I94" s="247"/>
      <c r="J94" s="247"/>
      <c r="K94" s="272"/>
    </row>
    <row r="95" spans="1:12" ht="52.5" customHeight="1">
      <c r="A95" s="244"/>
      <c r="B95" s="1071" t="s">
        <v>802</v>
      </c>
      <c r="C95" s="1071"/>
      <c r="D95" s="1071"/>
      <c r="E95" s="258"/>
      <c r="F95" s="258"/>
      <c r="G95" s="258"/>
      <c r="H95" s="247"/>
      <c r="I95" s="247"/>
      <c r="J95" s="247"/>
      <c r="K95" s="272"/>
    </row>
    <row r="96" spans="1:12" ht="51.75" hidden="1" customHeight="1">
      <c r="A96" s="244"/>
      <c r="B96" s="1073"/>
      <c r="C96" s="1073"/>
      <c r="D96" s="1073"/>
      <c r="E96" s="267"/>
      <c r="F96" s="268"/>
      <c r="G96" s="258"/>
      <c r="H96" s="247"/>
      <c r="I96" s="247"/>
      <c r="J96" s="247"/>
      <c r="K96" s="272"/>
    </row>
    <row r="97" spans="1:12">
      <c r="A97" s="244"/>
      <c r="B97" s="245"/>
      <c r="C97" s="244"/>
      <c r="D97" s="246"/>
      <c r="E97" s="256"/>
      <c r="F97" s="256"/>
      <c r="G97" s="256"/>
      <c r="H97" s="247"/>
      <c r="I97" s="247"/>
      <c r="J97" s="247"/>
      <c r="K97" s="272"/>
    </row>
    <row r="98" spans="1:12" s="9" customFormat="1" ht="33" customHeight="1">
      <c r="A98" s="236" t="str">
        <f>L_CViec!A268</f>
        <v>V</v>
      </c>
      <c r="B98" s="1032" t="str">
        <f>L_CViec!B268</f>
        <v>Đăng ký, cấp đổi, cấp lại Giấy chứng nhận riêng lẻ đối với hộ gia đình, cá nhân, cộng đồng dân cư, người gốc Việt Nam định cư ở nước ngoài</v>
      </c>
      <c r="C98" s="1032"/>
      <c r="D98" s="1032"/>
      <c r="E98" s="1032"/>
      <c r="F98" s="1032"/>
      <c r="G98" s="1032"/>
      <c r="H98" s="237"/>
      <c r="I98" s="237"/>
      <c r="J98" s="238" t="s">
        <v>387</v>
      </c>
      <c r="K98" s="270"/>
      <c r="L98" s="4"/>
    </row>
    <row r="99" spans="1:12" s="9" customFormat="1" ht="30">
      <c r="A99" s="236"/>
      <c r="B99" s="535"/>
      <c r="C99" s="535"/>
      <c r="D99" s="535"/>
      <c r="E99" s="236" t="s">
        <v>321</v>
      </c>
      <c r="F99" s="236" t="s">
        <v>692</v>
      </c>
      <c r="G99" s="535"/>
      <c r="H99" s="236" t="s">
        <v>321</v>
      </c>
      <c r="I99" s="236" t="s">
        <v>692</v>
      </c>
      <c r="J99" s="535"/>
      <c r="K99" s="270"/>
      <c r="L99" s="4"/>
    </row>
    <row r="100" spans="1:12" s="30" customFormat="1">
      <c r="A100" s="244">
        <v>1</v>
      </c>
      <c r="B100" s="245" t="s">
        <v>116</v>
      </c>
      <c r="C100" s="244" t="s">
        <v>323</v>
      </c>
      <c r="D100" s="212">
        <f>'Gia_Dcu-Tbi-Vlieu'!$D$40</f>
        <v>15000</v>
      </c>
      <c r="E100" s="250">
        <v>8.0000000000000002E-3</v>
      </c>
      <c r="F100" s="250">
        <v>0.03</v>
      </c>
      <c r="G100" s="250"/>
      <c r="H100" s="247">
        <f t="shared" ref="H100:H112" si="11">$D100*E100</f>
        <v>120</v>
      </c>
      <c r="I100" s="247">
        <f t="shared" ref="I100:I112" si="12">$D100*F100</f>
        <v>450</v>
      </c>
      <c r="J100" s="247">
        <f t="shared" ref="J100:J112" si="13">$D100*G100</f>
        <v>0</v>
      </c>
      <c r="K100" s="271"/>
      <c r="L100" s="4"/>
    </row>
    <row r="101" spans="1:12">
      <c r="A101" s="244">
        <v>2</v>
      </c>
      <c r="B101" s="245" t="s">
        <v>346</v>
      </c>
      <c r="C101" s="244" t="s">
        <v>347</v>
      </c>
      <c r="D101" s="212">
        <f>'Gia_Dcu-Tbi-Vlieu'!$D$42</f>
        <v>12000</v>
      </c>
      <c r="E101" s="250"/>
      <c r="F101" s="250">
        <v>3.0000000000000001E-3</v>
      </c>
      <c r="G101" s="250"/>
      <c r="H101" s="247">
        <f t="shared" si="11"/>
        <v>0</v>
      </c>
      <c r="I101" s="247">
        <f t="shared" si="12"/>
        <v>36</v>
      </c>
      <c r="J101" s="247">
        <f t="shared" si="13"/>
        <v>0</v>
      </c>
      <c r="K101" s="272"/>
    </row>
    <row r="102" spans="1:12">
      <c r="A102" s="244">
        <v>3</v>
      </c>
      <c r="B102" s="245" t="s">
        <v>348</v>
      </c>
      <c r="C102" s="244" t="s">
        <v>347</v>
      </c>
      <c r="D102" s="212">
        <f>'Gia_Dcu-Tbi-Vlieu'!$D$43</f>
        <v>3500</v>
      </c>
      <c r="E102" s="250"/>
      <c r="F102" s="250">
        <v>6.0000000000000001E-3</v>
      </c>
      <c r="G102" s="250"/>
      <c r="H102" s="247">
        <f t="shared" si="11"/>
        <v>0</v>
      </c>
      <c r="I102" s="247">
        <f t="shared" si="12"/>
        <v>21</v>
      </c>
      <c r="J102" s="247">
        <f t="shared" si="13"/>
        <v>0</v>
      </c>
      <c r="K102" s="272"/>
    </row>
    <row r="103" spans="1:12">
      <c r="A103" s="244">
        <v>4</v>
      </c>
      <c r="B103" s="245" t="s">
        <v>349</v>
      </c>
      <c r="C103" s="244" t="s">
        <v>347</v>
      </c>
      <c r="D103" s="212">
        <f>'Gia_Dcu-Tbi-Vlieu'!$D$44</f>
        <v>1600000</v>
      </c>
      <c r="E103" s="250"/>
      <c r="F103" s="250">
        <v>2E-3</v>
      </c>
      <c r="G103" s="250"/>
      <c r="H103" s="247">
        <f t="shared" si="11"/>
        <v>0</v>
      </c>
      <c r="I103" s="247">
        <f t="shared" si="12"/>
        <v>3200</v>
      </c>
      <c r="J103" s="247">
        <f t="shared" si="13"/>
        <v>0</v>
      </c>
      <c r="K103" s="272"/>
    </row>
    <row r="104" spans="1:12">
      <c r="A104" s="244">
        <v>5</v>
      </c>
      <c r="B104" s="245" t="s">
        <v>350</v>
      </c>
      <c r="C104" s="244" t="s">
        <v>347</v>
      </c>
      <c r="D104" s="212">
        <f>'Gia_Dcu-Tbi-Vlieu'!$D$45</f>
        <v>1600000</v>
      </c>
      <c r="E104" s="250"/>
      <c r="F104" s="250">
        <v>2E-3</v>
      </c>
      <c r="G104" s="250"/>
      <c r="H104" s="247">
        <f t="shared" si="11"/>
        <v>0</v>
      </c>
      <c r="I104" s="247">
        <f t="shared" si="12"/>
        <v>3200</v>
      </c>
      <c r="J104" s="247">
        <f t="shared" si="13"/>
        <v>0</v>
      </c>
      <c r="K104" s="272"/>
    </row>
    <row r="105" spans="1:12">
      <c r="A105" s="244">
        <v>6</v>
      </c>
      <c r="B105" s="245" t="s">
        <v>351</v>
      </c>
      <c r="C105" s="244" t="s">
        <v>347</v>
      </c>
      <c r="D105" s="212">
        <f>'Gia_Dcu-Tbi-Vlieu'!$D$46</f>
        <v>2900000</v>
      </c>
      <c r="E105" s="250"/>
      <c r="F105" s="715">
        <v>1E-4</v>
      </c>
      <c r="G105" s="250"/>
      <c r="H105" s="247">
        <f t="shared" si="11"/>
        <v>0</v>
      </c>
      <c r="I105" s="247">
        <f t="shared" si="12"/>
        <v>290</v>
      </c>
      <c r="J105" s="247">
        <f t="shared" si="13"/>
        <v>0</v>
      </c>
      <c r="K105" s="272"/>
    </row>
    <row r="106" spans="1:12">
      <c r="A106" s="244">
        <v>7</v>
      </c>
      <c r="B106" s="245" t="s">
        <v>141</v>
      </c>
      <c r="C106" s="244" t="s">
        <v>143</v>
      </c>
      <c r="D106" s="212">
        <f>'Gia_Dcu-Tbi-Vlieu'!$D$47</f>
        <v>8672</v>
      </c>
      <c r="E106" s="250"/>
      <c r="F106" s="250">
        <v>1</v>
      </c>
      <c r="G106" s="250"/>
      <c r="H106" s="247">
        <f t="shared" si="11"/>
        <v>0</v>
      </c>
      <c r="I106" s="247">
        <f t="shared" si="12"/>
        <v>8672</v>
      </c>
      <c r="J106" s="247">
        <f t="shared" si="13"/>
        <v>0</v>
      </c>
      <c r="K106" s="272"/>
    </row>
    <row r="107" spans="1:12">
      <c r="A107" s="244">
        <v>8</v>
      </c>
      <c r="B107" s="245" t="s">
        <v>352</v>
      </c>
      <c r="C107" s="244" t="s">
        <v>353</v>
      </c>
      <c r="D107" s="212">
        <f>'Gia_Dcu-Tbi-Vlieu'!$D$48</f>
        <v>70000</v>
      </c>
      <c r="E107" s="250">
        <v>8.9999999999999993E-3</v>
      </c>
      <c r="F107" s="250">
        <v>6.2E-2</v>
      </c>
      <c r="G107" s="250"/>
      <c r="H107" s="247">
        <f t="shared" si="11"/>
        <v>630</v>
      </c>
      <c r="I107" s="247">
        <f t="shared" si="12"/>
        <v>4340</v>
      </c>
      <c r="J107" s="247">
        <f t="shared" si="13"/>
        <v>0</v>
      </c>
      <c r="K107" s="272"/>
    </row>
    <row r="108" spans="1:12">
      <c r="A108" s="244">
        <v>9</v>
      </c>
      <c r="B108" s="245" t="s">
        <v>354</v>
      </c>
      <c r="C108" s="244" t="s">
        <v>353</v>
      </c>
      <c r="D108" s="212">
        <f>'Gia_Dcu-Tbi-Vlieu'!$D$49</f>
        <v>140000</v>
      </c>
      <c r="E108" s="250"/>
      <c r="F108" s="250">
        <v>4.0000000000000001E-3</v>
      </c>
      <c r="G108" s="250"/>
      <c r="H108" s="247">
        <f t="shared" si="11"/>
        <v>0</v>
      </c>
      <c r="I108" s="247">
        <f t="shared" si="12"/>
        <v>560</v>
      </c>
      <c r="J108" s="247">
        <f t="shared" si="13"/>
        <v>0</v>
      </c>
      <c r="K108" s="272"/>
    </row>
    <row r="109" spans="1:12">
      <c r="A109" s="244">
        <v>10</v>
      </c>
      <c r="B109" s="245" t="s">
        <v>751</v>
      </c>
      <c r="C109" s="244" t="s">
        <v>752</v>
      </c>
      <c r="D109" s="212">
        <f>'Gia_Dcu-Tbi-Vlieu'!D65</f>
        <v>10000</v>
      </c>
      <c r="E109" s="250"/>
      <c r="F109" s="250">
        <v>4.0000000000000001E-3</v>
      </c>
      <c r="G109" s="250"/>
      <c r="H109" s="247"/>
      <c r="I109" s="247">
        <f t="shared" si="12"/>
        <v>40</v>
      </c>
      <c r="J109" s="247"/>
      <c r="K109" s="272"/>
    </row>
    <row r="110" spans="1:12" s="30" customFormat="1">
      <c r="A110" s="244">
        <v>11</v>
      </c>
      <c r="B110" s="245" t="s">
        <v>41</v>
      </c>
      <c r="C110" s="244" t="s">
        <v>355</v>
      </c>
      <c r="D110" s="212">
        <f>'Gia_Dcu-Tbi-Vlieu'!$D$50</f>
        <v>5000</v>
      </c>
      <c r="E110" s="250">
        <v>1.4999999999999999E-2</v>
      </c>
      <c r="F110" s="250">
        <v>0.06</v>
      </c>
      <c r="G110" s="250"/>
      <c r="H110" s="247">
        <f t="shared" si="11"/>
        <v>75</v>
      </c>
      <c r="I110" s="247">
        <f t="shared" si="12"/>
        <v>300</v>
      </c>
      <c r="J110" s="247">
        <f t="shared" si="13"/>
        <v>0</v>
      </c>
      <c r="K110" s="271"/>
      <c r="L110" s="4"/>
    </row>
    <row r="111" spans="1:12">
      <c r="A111" s="244">
        <v>12</v>
      </c>
      <c r="B111" s="245" t="s">
        <v>357</v>
      </c>
      <c r="C111" s="244" t="s">
        <v>323</v>
      </c>
      <c r="D111" s="212">
        <f>'Gia_Dcu-Tbi-Vlieu'!$D$52</f>
        <v>10000</v>
      </c>
      <c r="E111" s="250"/>
      <c r="F111" s="250">
        <v>5.0000000000000001E-3</v>
      </c>
      <c r="G111" s="250"/>
      <c r="H111" s="247">
        <f t="shared" si="11"/>
        <v>0</v>
      </c>
      <c r="I111" s="247">
        <f t="shared" si="12"/>
        <v>50</v>
      </c>
      <c r="J111" s="247">
        <f t="shared" si="13"/>
        <v>0</v>
      </c>
      <c r="K111" s="272"/>
    </row>
    <row r="112" spans="1:12">
      <c r="A112" s="244">
        <v>13</v>
      </c>
      <c r="B112" s="245" t="s">
        <v>384</v>
      </c>
      <c r="C112" s="244" t="s">
        <v>359</v>
      </c>
      <c r="D112" s="212">
        <f>'Gia_Dcu-Tbi-Vlieu'!$D$54</f>
        <v>770</v>
      </c>
      <c r="E112" s="250"/>
      <c r="F112" s="250">
        <v>1</v>
      </c>
      <c r="G112" s="250"/>
      <c r="H112" s="247">
        <f t="shared" si="11"/>
        <v>0</v>
      </c>
      <c r="I112" s="247">
        <f t="shared" si="12"/>
        <v>770</v>
      </c>
      <c r="J112" s="247">
        <f t="shared" si="13"/>
        <v>0</v>
      </c>
      <c r="K112" s="272"/>
    </row>
    <row r="113" spans="1:12" s="11" customFormat="1" ht="15">
      <c r="A113" s="167"/>
      <c r="B113" s="177" t="s">
        <v>456</v>
      </c>
      <c r="C113" s="167"/>
      <c r="D113" s="178"/>
      <c r="E113" s="216"/>
      <c r="F113" s="216"/>
      <c r="G113" s="217">
        <v>1</v>
      </c>
      <c r="H113" s="179">
        <f>SUM(H100:H112)*$G113</f>
        <v>825</v>
      </c>
      <c r="I113" s="179">
        <f>SUM(I100:I112)*$G113</f>
        <v>21929</v>
      </c>
      <c r="J113" s="179">
        <f>SUM(J100:J112)*$G113</f>
        <v>0</v>
      </c>
      <c r="K113" s="273"/>
    </row>
    <row r="114" spans="1:12" ht="34.5" customHeight="1">
      <c r="A114" s="244"/>
      <c r="B114" s="1080" t="s">
        <v>803</v>
      </c>
      <c r="C114" s="1080"/>
      <c r="D114" s="1080"/>
      <c r="E114" s="1080"/>
      <c r="F114" s="1080"/>
      <c r="G114" s="1080"/>
      <c r="H114" s="247"/>
      <c r="I114" s="247"/>
      <c r="J114" s="247"/>
      <c r="K114" s="272"/>
    </row>
    <row r="115" spans="1:12">
      <c r="A115" s="244"/>
      <c r="B115" s="245"/>
      <c r="C115" s="244"/>
      <c r="D115" s="246"/>
      <c r="E115" s="269"/>
      <c r="F115" s="269"/>
      <c r="G115" s="269"/>
      <c r="H115" s="247"/>
      <c r="I115" s="247"/>
      <c r="J115" s="247"/>
      <c r="K115" s="272"/>
    </row>
    <row r="116" spans="1:12" s="9" customFormat="1" ht="48" customHeight="1">
      <c r="A116" s="236" t="str">
        <f>L_CViec!A325</f>
        <v>VI</v>
      </c>
      <c r="B116" s="1032" t="str">
        <f>L_CViec!B325</f>
        <v>Đăng ký, cấp đổi, cấp lại Giấy chứng nhận riêng lẻ đối với tổ chức, tổ chức tôn giáo, tổ chức tôn giáo trực thuộc, tổ chức nước ngoài có chức năng ngoại giao, tổ chức kinh tế có vốn đầu tư nước ngoài, tổ chức nước ngoài, cá nhân nước ngoài</v>
      </c>
      <c r="C116" s="1032"/>
      <c r="D116" s="1032"/>
      <c r="E116" s="1032"/>
      <c r="F116" s="1032"/>
      <c r="G116" s="1032">
        <v>0.04</v>
      </c>
      <c r="H116" s="237"/>
      <c r="I116" s="237"/>
      <c r="J116" s="821" t="s">
        <v>804</v>
      </c>
      <c r="K116" s="270"/>
      <c r="L116" s="4"/>
    </row>
    <row r="117" spans="1:12" s="9" customFormat="1" ht="42.75" customHeight="1">
      <c r="A117" s="236"/>
      <c r="B117" s="535"/>
      <c r="C117" s="535"/>
      <c r="D117" s="535"/>
      <c r="E117" s="236" t="s">
        <v>692</v>
      </c>
      <c r="F117" s="535"/>
      <c r="G117" s="236" t="s">
        <v>321</v>
      </c>
      <c r="H117" s="236" t="s">
        <v>692</v>
      </c>
      <c r="I117" s="535"/>
      <c r="J117" s="236" t="s">
        <v>321</v>
      </c>
      <c r="K117" s="270"/>
      <c r="L117" s="4"/>
    </row>
    <row r="118" spans="1:12" s="30" customFormat="1">
      <c r="A118" s="244">
        <v>1</v>
      </c>
      <c r="B118" s="245" t="s">
        <v>116</v>
      </c>
      <c r="C118" s="244" t="s">
        <v>323</v>
      </c>
      <c r="D118" s="212">
        <f>'Gia_Dcu-Tbi-Vlieu'!$D$40</f>
        <v>15000</v>
      </c>
      <c r="E118" s="250">
        <v>0.01</v>
      </c>
      <c r="F118" s="250"/>
      <c r="G118" s="250">
        <v>0.04</v>
      </c>
      <c r="H118" s="247">
        <f t="shared" ref="H118:H130" si="14">$D118*E118</f>
        <v>150</v>
      </c>
      <c r="I118" s="247">
        <f t="shared" ref="I118:I130" si="15">$D118*F118</f>
        <v>0</v>
      </c>
      <c r="J118" s="247">
        <f t="shared" ref="J118:J130" si="16">$D118*G118</f>
        <v>600</v>
      </c>
      <c r="K118" s="271"/>
      <c r="L118" s="4"/>
    </row>
    <row r="119" spans="1:12">
      <c r="A119" s="244">
        <v>2</v>
      </c>
      <c r="B119" s="245" t="s">
        <v>346</v>
      </c>
      <c r="C119" s="244" t="s">
        <v>347</v>
      </c>
      <c r="D119" s="212">
        <f>'Gia_Dcu-Tbi-Vlieu'!$D$42</f>
        <v>12000</v>
      </c>
      <c r="E119" s="250"/>
      <c r="F119" s="250"/>
      <c r="G119" s="250">
        <v>4.0000000000000001E-3</v>
      </c>
      <c r="H119" s="247">
        <f t="shared" si="14"/>
        <v>0</v>
      </c>
      <c r="I119" s="247">
        <f t="shared" si="15"/>
        <v>0</v>
      </c>
      <c r="J119" s="247">
        <f t="shared" si="16"/>
        <v>48</v>
      </c>
      <c r="K119" s="272"/>
    </row>
    <row r="120" spans="1:12">
      <c r="A120" s="244">
        <v>3</v>
      </c>
      <c r="B120" s="245" t="s">
        <v>348</v>
      </c>
      <c r="C120" s="244" t="s">
        <v>347</v>
      </c>
      <c r="D120" s="212">
        <f>'Gia_Dcu-Tbi-Vlieu'!$D$43</f>
        <v>3500</v>
      </c>
      <c r="E120" s="250"/>
      <c r="F120" s="250"/>
      <c r="G120" s="250">
        <v>8.0000000000000002E-3</v>
      </c>
      <c r="H120" s="247">
        <f t="shared" si="14"/>
        <v>0</v>
      </c>
      <c r="I120" s="247">
        <f t="shared" si="15"/>
        <v>0</v>
      </c>
      <c r="J120" s="247">
        <f t="shared" si="16"/>
        <v>28</v>
      </c>
      <c r="K120" s="272"/>
    </row>
    <row r="121" spans="1:12">
      <c r="A121" s="244">
        <v>4</v>
      </c>
      <c r="B121" s="245" t="s">
        <v>349</v>
      </c>
      <c r="C121" s="244" t="s">
        <v>347</v>
      </c>
      <c r="D121" s="212">
        <f>'Gia_Dcu-Tbi-Vlieu'!$D$44</f>
        <v>1600000</v>
      </c>
      <c r="E121" s="250"/>
      <c r="F121" s="250"/>
      <c r="G121" s="250">
        <v>2E-3</v>
      </c>
      <c r="H121" s="247">
        <f t="shared" si="14"/>
        <v>0</v>
      </c>
      <c r="I121" s="247">
        <f t="shared" si="15"/>
        <v>0</v>
      </c>
      <c r="J121" s="247">
        <f t="shared" si="16"/>
        <v>3200</v>
      </c>
      <c r="K121" s="272"/>
    </row>
    <row r="122" spans="1:12">
      <c r="A122" s="244">
        <v>5</v>
      </c>
      <c r="B122" s="245" t="s">
        <v>350</v>
      </c>
      <c r="C122" s="244" t="s">
        <v>347</v>
      </c>
      <c r="D122" s="212">
        <f>'Gia_Dcu-Tbi-Vlieu'!$D$45</f>
        <v>1600000</v>
      </c>
      <c r="E122" s="250"/>
      <c r="F122" s="250"/>
      <c r="G122" s="250">
        <v>3.0000000000000001E-3</v>
      </c>
      <c r="H122" s="247">
        <f t="shared" si="14"/>
        <v>0</v>
      </c>
      <c r="I122" s="247">
        <f t="shared" si="15"/>
        <v>0</v>
      </c>
      <c r="J122" s="247">
        <f t="shared" si="16"/>
        <v>4800</v>
      </c>
      <c r="K122" s="272"/>
    </row>
    <row r="123" spans="1:12">
      <c r="A123" s="244">
        <v>6</v>
      </c>
      <c r="B123" s="245" t="s">
        <v>351</v>
      </c>
      <c r="C123" s="244" t="s">
        <v>347</v>
      </c>
      <c r="D123" s="212">
        <f>'Gia_Dcu-Tbi-Vlieu'!$D$46</f>
        <v>2900000</v>
      </c>
      <c r="E123" s="250"/>
      <c r="F123" s="250"/>
      <c r="G123" s="250">
        <v>1E-3</v>
      </c>
      <c r="H123" s="247">
        <f t="shared" si="14"/>
        <v>0</v>
      </c>
      <c r="I123" s="247">
        <f t="shared" si="15"/>
        <v>0</v>
      </c>
      <c r="J123" s="247">
        <f t="shared" si="16"/>
        <v>2900</v>
      </c>
      <c r="K123" s="272"/>
    </row>
    <row r="124" spans="1:12">
      <c r="A124" s="244">
        <v>7</v>
      </c>
      <c r="B124" s="245" t="s">
        <v>141</v>
      </c>
      <c r="C124" s="244" t="s">
        <v>143</v>
      </c>
      <c r="D124" s="212">
        <f>'Gia_Dcu-Tbi-Vlieu'!$D$47</f>
        <v>8672</v>
      </c>
      <c r="E124" s="250"/>
      <c r="F124" s="250"/>
      <c r="G124" s="250">
        <v>1</v>
      </c>
      <c r="H124" s="247">
        <f t="shared" si="14"/>
        <v>0</v>
      </c>
      <c r="I124" s="247">
        <f t="shared" si="15"/>
        <v>0</v>
      </c>
      <c r="J124" s="247">
        <f t="shared" si="16"/>
        <v>8672</v>
      </c>
      <c r="K124" s="272"/>
    </row>
    <row r="125" spans="1:12">
      <c r="A125" s="244">
        <v>8</v>
      </c>
      <c r="B125" s="245" t="s">
        <v>352</v>
      </c>
      <c r="C125" s="244" t="s">
        <v>353</v>
      </c>
      <c r="D125" s="212">
        <f>'Gia_Dcu-Tbi-Vlieu'!$D$48</f>
        <v>70000</v>
      </c>
      <c r="E125" s="250">
        <v>1.2E-2</v>
      </c>
      <c r="F125" s="250"/>
      <c r="G125" s="250">
        <v>8.2000000000000003E-2</v>
      </c>
      <c r="H125" s="247">
        <f t="shared" si="14"/>
        <v>840</v>
      </c>
      <c r="I125" s="247">
        <f t="shared" si="15"/>
        <v>0</v>
      </c>
      <c r="J125" s="247">
        <f t="shared" si="16"/>
        <v>5740</v>
      </c>
      <c r="K125" s="272"/>
    </row>
    <row r="126" spans="1:12">
      <c r="A126" s="244">
        <v>9</v>
      </c>
      <c r="B126" s="245" t="s">
        <v>354</v>
      </c>
      <c r="C126" s="244" t="s">
        <v>353</v>
      </c>
      <c r="D126" s="212">
        <f>'Gia_Dcu-Tbi-Vlieu'!$D$49</f>
        <v>140000</v>
      </c>
      <c r="E126" s="250"/>
      <c r="F126" s="250"/>
      <c r="G126" s="250">
        <v>5.0000000000000001E-3</v>
      </c>
      <c r="H126" s="247">
        <f t="shared" si="14"/>
        <v>0</v>
      </c>
      <c r="I126" s="247">
        <f t="shared" si="15"/>
        <v>0</v>
      </c>
      <c r="J126" s="247">
        <f t="shared" si="16"/>
        <v>700</v>
      </c>
      <c r="K126" s="272"/>
    </row>
    <row r="127" spans="1:12">
      <c r="A127" s="244">
        <v>10</v>
      </c>
      <c r="B127" s="245" t="s">
        <v>751</v>
      </c>
      <c r="C127" s="244" t="s">
        <v>752</v>
      </c>
      <c r="D127" s="212">
        <f>D109</f>
        <v>10000</v>
      </c>
      <c r="E127" s="250"/>
      <c r="F127" s="250"/>
      <c r="G127" s="250">
        <v>5.0000000000000001E-3</v>
      </c>
      <c r="H127" s="247"/>
      <c r="I127" s="247"/>
      <c r="J127" s="247">
        <f t="shared" si="16"/>
        <v>50</v>
      </c>
      <c r="K127" s="272"/>
    </row>
    <row r="128" spans="1:12" s="30" customFormat="1">
      <c r="A128" s="244">
        <v>11</v>
      </c>
      <c r="B128" s="245" t="s">
        <v>41</v>
      </c>
      <c r="C128" s="244" t="s">
        <v>355</v>
      </c>
      <c r="D128" s="212">
        <f>'Gia_Dcu-Tbi-Vlieu'!$D$50</f>
        <v>5000</v>
      </c>
      <c r="E128" s="250">
        <v>0.02</v>
      </c>
      <c r="F128" s="250"/>
      <c r="G128" s="250">
        <v>0.08</v>
      </c>
      <c r="H128" s="247">
        <f t="shared" si="14"/>
        <v>100</v>
      </c>
      <c r="I128" s="247">
        <f t="shared" si="15"/>
        <v>0</v>
      </c>
      <c r="J128" s="247">
        <f t="shared" si="16"/>
        <v>400</v>
      </c>
      <c r="K128" s="271"/>
      <c r="L128" s="4"/>
    </row>
    <row r="129" spans="1:14">
      <c r="A129" s="244">
        <v>12</v>
      </c>
      <c r="B129" s="245" t="s">
        <v>356</v>
      </c>
      <c r="C129" s="244" t="s">
        <v>323</v>
      </c>
      <c r="D129" s="212">
        <f>'Gia_Dcu-Tbi-Vlieu'!$D$51</f>
        <v>20000</v>
      </c>
      <c r="E129" s="250">
        <v>0.01</v>
      </c>
      <c r="F129" s="250"/>
      <c r="G129" s="250">
        <v>2.5999999999999999E-2</v>
      </c>
      <c r="H129" s="247">
        <f t="shared" si="14"/>
        <v>200</v>
      </c>
      <c r="I129" s="247">
        <f t="shared" si="15"/>
        <v>0</v>
      </c>
      <c r="J129" s="247">
        <f t="shared" si="16"/>
        <v>520</v>
      </c>
      <c r="K129" s="272"/>
    </row>
    <row r="130" spans="1:14">
      <c r="A130" s="244">
        <v>13</v>
      </c>
      <c r="B130" s="245" t="s">
        <v>357</v>
      </c>
      <c r="C130" s="244" t="s">
        <v>323</v>
      </c>
      <c r="D130" s="212">
        <f>'Gia_Dcu-Tbi-Vlieu'!$D$52</f>
        <v>10000</v>
      </c>
      <c r="E130" s="250"/>
      <c r="F130" s="250"/>
      <c r="G130" s="250">
        <v>6.0000000000000001E-3</v>
      </c>
      <c r="H130" s="247">
        <f t="shared" si="14"/>
        <v>0</v>
      </c>
      <c r="I130" s="247">
        <f t="shared" si="15"/>
        <v>0</v>
      </c>
      <c r="J130" s="247">
        <f t="shared" si="16"/>
        <v>60</v>
      </c>
      <c r="K130" s="272"/>
    </row>
    <row r="131" spans="1:14">
      <c r="A131" s="244">
        <v>14</v>
      </c>
      <c r="B131" s="245" t="s">
        <v>384</v>
      </c>
      <c r="C131" s="244" t="s">
        <v>359</v>
      </c>
      <c r="D131" s="212">
        <f>'Gia_Dcu-Tbi-Vlieu'!$D$54</f>
        <v>770</v>
      </c>
      <c r="E131" s="250"/>
      <c r="F131" s="250"/>
      <c r="G131" s="250">
        <v>1</v>
      </c>
      <c r="H131" s="247">
        <f>$D131*E131</f>
        <v>0</v>
      </c>
      <c r="I131" s="247">
        <f>$D131*F131</f>
        <v>0</v>
      </c>
      <c r="J131" s="247">
        <f>$D131*G131</f>
        <v>770</v>
      </c>
      <c r="K131" s="272"/>
    </row>
    <row r="132" spans="1:14" s="11" customFormat="1" ht="15">
      <c r="A132" s="167"/>
      <c r="B132" s="177" t="s">
        <v>456</v>
      </c>
      <c r="C132" s="167"/>
      <c r="D132" s="178"/>
      <c r="E132" s="216"/>
      <c r="F132" s="216"/>
      <c r="G132" s="217">
        <v>1</v>
      </c>
      <c r="H132" s="179">
        <f>SUM(H118:H131)*$G132</f>
        <v>1290</v>
      </c>
      <c r="I132" s="179"/>
      <c r="J132" s="179">
        <f>SUM(J118:J131)*$G132</f>
        <v>28488</v>
      </c>
      <c r="K132" s="273"/>
    </row>
    <row r="133" spans="1:14" ht="47.25" customHeight="1">
      <c r="A133" s="244"/>
      <c r="B133" s="1021" t="s">
        <v>805</v>
      </c>
      <c r="C133" s="1021"/>
      <c r="D133" s="1021"/>
      <c r="E133" s="1021"/>
      <c r="F133" s="1021"/>
      <c r="G133" s="1021"/>
      <c r="H133" s="247"/>
      <c r="I133" s="247"/>
      <c r="J133" s="247"/>
      <c r="K133" s="272"/>
    </row>
    <row r="134" spans="1:14" s="30" customFormat="1" ht="21.75" customHeight="1">
      <c r="A134" s="261"/>
      <c r="B134" s="262"/>
      <c r="C134" s="261"/>
      <c r="D134" s="263"/>
      <c r="E134" s="264"/>
      <c r="F134" s="264"/>
      <c r="G134" s="264"/>
      <c r="H134" s="265"/>
      <c r="I134" s="265"/>
      <c r="J134" s="265"/>
      <c r="K134" s="271"/>
      <c r="L134" s="4"/>
    </row>
    <row r="135" spans="1:14" s="5" customFormat="1" ht="15.65" customHeight="1">
      <c r="A135" s="987" t="s">
        <v>23</v>
      </c>
      <c r="B135" s="987" t="s">
        <v>3</v>
      </c>
      <c r="C135" s="987" t="s">
        <v>38</v>
      </c>
      <c r="D135" s="1012" t="s">
        <v>372</v>
      </c>
      <c r="E135" s="1075" t="s">
        <v>371</v>
      </c>
      <c r="F135" s="1075"/>
      <c r="G135" s="1075"/>
      <c r="H135" s="1075"/>
      <c r="I135" s="869" t="s">
        <v>35</v>
      </c>
      <c r="J135" s="869"/>
      <c r="K135" s="869"/>
      <c r="L135" s="869"/>
    </row>
    <row r="136" spans="1:14" s="5" customFormat="1" ht="15">
      <c r="A136" s="987"/>
      <c r="B136" s="987"/>
      <c r="C136" s="987"/>
      <c r="D136" s="1012"/>
      <c r="E136" s="1075" t="s">
        <v>692</v>
      </c>
      <c r="F136" s="1075"/>
      <c r="G136" s="1075"/>
      <c r="H136" s="1075"/>
      <c r="I136" s="869" t="s">
        <v>692</v>
      </c>
      <c r="J136" s="869"/>
      <c r="K136" s="869"/>
      <c r="L136" s="869"/>
    </row>
    <row r="137" spans="1:14" s="5" customFormat="1" ht="30">
      <c r="A137" s="987"/>
      <c r="B137" s="987"/>
      <c r="C137" s="987"/>
      <c r="D137" s="1012"/>
      <c r="E137" s="235" t="s">
        <v>692</v>
      </c>
      <c r="F137" s="235"/>
      <c r="G137" s="235"/>
      <c r="H137" s="235"/>
      <c r="I137" s="234" t="s">
        <v>692</v>
      </c>
      <c r="J137" s="234"/>
      <c r="K137" s="234"/>
      <c r="L137" s="234"/>
    </row>
    <row r="138" spans="1:14" s="9" customFormat="1" ht="29.25" customHeight="1">
      <c r="A138" s="248" t="str">
        <f>L_CViec!A373</f>
        <v>VII</v>
      </c>
      <c r="B138" s="1077" t="str">
        <f>L_CViec!B373</f>
        <v>Đăng ký biến động đất đai đối với hộ gia đình, cá nhân, cộng đồng dân cư, người gốc Việt Nam định cư ở nước ngoài</v>
      </c>
      <c r="C138" s="1077"/>
      <c r="D138" s="1077"/>
      <c r="E138" s="1077"/>
      <c r="F138" s="1077"/>
      <c r="G138" s="1077"/>
      <c r="H138" s="249"/>
      <c r="I138" s="249"/>
      <c r="J138" s="249"/>
      <c r="K138" s="249"/>
      <c r="L138" s="820" t="s">
        <v>395</v>
      </c>
      <c r="N138" s="4"/>
    </row>
    <row r="139" spans="1:14" s="30" customFormat="1" ht="24.75" customHeight="1">
      <c r="A139" s="244">
        <v>1</v>
      </c>
      <c r="B139" s="245" t="s">
        <v>116</v>
      </c>
      <c r="C139" s="244" t="s">
        <v>323</v>
      </c>
      <c r="D139" s="212">
        <f>'Gia_Dcu-Tbi-Vlieu'!$D$40</f>
        <v>15000</v>
      </c>
      <c r="E139" s="541">
        <v>0.01</v>
      </c>
      <c r="F139" s="250"/>
      <c r="G139" s="250"/>
      <c r="H139" s="250"/>
      <c r="I139" s="247">
        <f t="shared" ref="I139:I152" si="17">$D139*E139</f>
        <v>150</v>
      </c>
      <c r="J139" s="247">
        <f t="shared" ref="J139:J151" si="18">$D139*F139</f>
        <v>0</v>
      </c>
      <c r="K139" s="247">
        <f t="shared" ref="K139:K151" si="19">$D139*G139</f>
        <v>0</v>
      </c>
      <c r="L139" s="247">
        <f>$D139*H139</f>
        <v>0</v>
      </c>
    </row>
    <row r="140" spans="1:14" ht="24.75" customHeight="1">
      <c r="A140" s="244">
        <v>2</v>
      </c>
      <c r="B140" s="245" t="s">
        <v>346</v>
      </c>
      <c r="C140" s="244" t="s">
        <v>347</v>
      </c>
      <c r="D140" s="212">
        <f>'Gia_Dcu-Tbi-Vlieu'!$D$42</f>
        <v>12000</v>
      </c>
      <c r="E140" s="541">
        <v>3.7999999999999999E-2</v>
      </c>
      <c r="F140" s="250"/>
      <c r="G140" s="250"/>
      <c r="H140" s="250"/>
      <c r="I140" s="247">
        <f t="shared" si="17"/>
        <v>456</v>
      </c>
      <c r="J140" s="247">
        <f t="shared" si="18"/>
        <v>0</v>
      </c>
      <c r="K140" s="247">
        <f t="shared" si="19"/>
        <v>0</v>
      </c>
      <c r="L140" s="247">
        <f t="shared" ref="L140:L151" si="20">$D140*H140</f>
        <v>0</v>
      </c>
    </row>
    <row r="141" spans="1:14" ht="24.75" customHeight="1">
      <c r="A141" s="244">
        <v>3</v>
      </c>
      <c r="B141" s="245" t="s">
        <v>348</v>
      </c>
      <c r="C141" s="244" t="s">
        <v>347</v>
      </c>
      <c r="D141" s="212">
        <f>'Gia_Dcu-Tbi-Vlieu'!$D$43</f>
        <v>3500</v>
      </c>
      <c r="E141" s="541">
        <v>6.0000000000000001E-3</v>
      </c>
      <c r="F141" s="250"/>
      <c r="G141" s="250"/>
      <c r="H141" s="250"/>
      <c r="I141" s="247">
        <f t="shared" si="17"/>
        <v>21</v>
      </c>
      <c r="J141" s="247">
        <f t="shared" si="18"/>
        <v>0</v>
      </c>
      <c r="K141" s="247">
        <f t="shared" si="19"/>
        <v>0</v>
      </c>
      <c r="L141" s="247">
        <f t="shared" si="20"/>
        <v>0</v>
      </c>
    </row>
    <row r="142" spans="1:14" ht="24.75" customHeight="1">
      <c r="A142" s="244">
        <v>4</v>
      </c>
      <c r="B142" s="245" t="s">
        <v>349</v>
      </c>
      <c r="C142" s="244" t="s">
        <v>347</v>
      </c>
      <c r="D142" s="212">
        <f>'Gia_Dcu-Tbi-Vlieu'!$D$44</f>
        <v>1600000</v>
      </c>
      <c r="E142" s="541">
        <v>2E-3</v>
      </c>
      <c r="F142" s="250"/>
      <c r="G142" s="250"/>
      <c r="H142" s="250"/>
      <c r="I142" s="247">
        <f t="shared" si="17"/>
        <v>3200</v>
      </c>
      <c r="J142" s="247">
        <f t="shared" si="18"/>
        <v>0</v>
      </c>
      <c r="K142" s="247">
        <f t="shared" si="19"/>
        <v>0</v>
      </c>
      <c r="L142" s="247">
        <f t="shared" si="20"/>
        <v>0</v>
      </c>
    </row>
    <row r="143" spans="1:14" ht="24.75" customHeight="1">
      <c r="A143" s="244">
        <v>5</v>
      </c>
      <c r="B143" s="245" t="s">
        <v>115</v>
      </c>
      <c r="C143" s="244" t="s">
        <v>347</v>
      </c>
      <c r="D143" s="212">
        <f>'Gia_Dcu-Tbi-Vlieu'!$D$45</f>
        <v>1600000</v>
      </c>
      <c r="E143" s="541">
        <v>3.0000000000000001E-3</v>
      </c>
      <c r="F143" s="250"/>
      <c r="G143" s="250"/>
      <c r="H143" s="250"/>
      <c r="I143" s="247">
        <f t="shared" si="17"/>
        <v>4800</v>
      </c>
      <c r="J143" s="247">
        <f t="shared" si="18"/>
        <v>0</v>
      </c>
      <c r="K143" s="247">
        <f t="shared" si="19"/>
        <v>0</v>
      </c>
      <c r="L143" s="247">
        <f t="shared" si="20"/>
        <v>0</v>
      </c>
    </row>
    <row r="144" spans="1:14" ht="24.75" customHeight="1">
      <c r="A144" s="244">
        <v>6</v>
      </c>
      <c r="B144" s="245" t="s">
        <v>351</v>
      </c>
      <c r="C144" s="244" t="s">
        <v>347</v>
      </c>
      <c r="D144" s="212">
        <f>'Gia_Dcu-Tbi-Vlieu'!$D$46</f>
        <v>2900000</v>
      </c>
      <c r="E144" s="541">
        <v>2E-3</v>
      </c>
      <c r="F144" s="250"/>
      <c r="G144" s="250"/>
      <c r="H144" s="250"/>
      <c r="I144" s="247">
        <f t="shared" si="17"/>
        <v>5800</v>
      </c>
      <c r="J144" s="247">
        <f t="shared" si="18"/>
        <v>0</v>
      </c>
      <c r="K144" s="247">
        <f t="shared" si="19"/>
        <v>0</v>
      </c>
      <c r="L144" s="247">
        <f t="shared" si="20"/>
        <v>0</v>
      </c>
    </row>
    <row r="145" spans="1:13" ht="24.75" customHeight="1">
      <c r="A145" s="244">
        <v>7</v>
      </c>
      <c r="B145" s="245" t="s">
        <v>141</v>
      </c>
      <c r="C145" s="244" t="s">
        <v>143</v>
      </c>
      <c r="D145" s="212">
        <f>'Gia_Dcu-Tbi-Vlieu'!$D$47</f>
        <v>8672</v>
      </c>
      <c r="E145" s="541">
        <v>1</v>
      </c>
      <c r="F145" s="250"/>
      <c r="G145" s="250"/>
      <c r="H145" s="250"/>
      <c r="I145" s="247">
        <f t="shared" si="17"/>
        <v>8672</v>
      </c>
      <c r="J145" s="247">
        <f t="shared" si="18"/>
        <v>0</v>
      </c>
      <c r="K145" s="247">
        <f t="shared" si="19"/>
        <v>0</v>
      </c>
      <c r="L145" s="247">
        <f t="shared" si="20"/>
        <v>0</v>
      </c>
      <c r="M145" s="27">
        <f>D145*E145</f>
        <v>8672</v>
      </c>
    </row>
    <row r="146" spans="1:13" ht="24.75" customHeight="1">
      <c r="A146" s="244">
        <v>8</v>
      </c>
      <c r="B146" s="245" t="s">
        <v>352</v>
      </c>
      <c r="C146" s="244" t="s">
        <v>353</v>
      </c>
      <c r="D146" s="212">
        <f>'Gia_Dcu-Tbi-Vlieu'!$D$48</f>
        <v>70000</v>
      </c>
      <c r="E146" s="541">
        <v>9.1999999999999998E-2</v>
      </c>
      <c r="F146" s="250"/>
      <c r="G146" s="250"/>
      <c r="H146" s="250"/>
      <c r="I146" s="247">
        <f t="shared" si="17"/>
        <v>6440</v>
      </c>
      <c r="J146" s="247">
        <f t="shared" si="18"/>
        <v>0</v>
      </c>
      <c r="K146" s="247">
        <f t="shared" si="19"/>
        <v>0</v>
      </c>
      <c r="L146" s="247">
        <f t="shared" si="20"/>
        <v>0</v>
      </c>
    </row>
    <row r="147" spans="1:13" ht="24.75" customHeight="1">
      <c r="A147" s="244">
        <v>9</v>
      </c>
      <c r="B147" s="245" t="s">
        <v>354</v>
      </c>
      <c r="C147" s="244" t="s">
        <v>353</v>
      </c>
      <c r="D147" s="212">
        <f>'Gia_Dcu-Tbi-Vlieu'!$D$49</f>
        <v>140000</v>
      </c>
      <c r="E147" s="541">
        <v>7.0000000000000001E-3</v>
      </c>
      <c r="F147" s="250"/>
      <c r="G147" s="250"/>
      <c r="H147" s="250"/>
      <c r="I147" s="247">
        <f t="shared" si="17"/>
        <v>980</v>
      </c>
      <c r="J147" s="247">
        <f t="shared" si="18"/>
        <v>0</v>
      </c>
      <c r="K147" s="247">
        <f t="shared" si="19"/>
        <v>0</v>
      </c>
      <c r="L147" s="247">
        <f t="shared" si="20"/>
        <v>0</v>
      </c>
    </row>
    <row r="148" spans="1:13" ht="24.75" customHeight="1">
      <c r="A148" s="244">
        <v>10</v>
      </c>
      <c r="B148" s="245" t="s">
        <v>751</v>
      </c>
      <c r="C148" s="244" t="s">
        <v>752</v>
      </c>
      <c r="D148" s="212">
        <f>D127</f>
        <v>10000</v>
      </c>
      <c r="E148" s="541">
        <v>5.0000000000000001E-3</v>
      </c>
      <c r="F148" s="250"/>
      <c r="G148" s="250"/>
      <c r="H148" s="250"/>
      <c r="I148" s="247">
        <f t="shared" si="17"/>
        <v>50</v>
      </c>
      <c r="J148" s="247"/>
      <c r="K148" s="247"/>
      <c r="L148" s="247"/>
    </row>
    <row r="149" spans="1:13" s="30" customFormat="1" ht="24.75" customHeight="1">
      <c r="A149" s="244">
        <v>11</v>
      </c>
      <c r="B149" s="245" t="s">
        <v>41</v>
      </c>
      <c r="C149" s="244" t="s">
        <v>355</v>
      </c>
      <c r="D149" s="212">
        <f>'Gia_Dcu-Tbi-Vlieu'!$D$50</f>
        <v>5000</v>
      </c>
      <c r="E149" s="541">
        <v>2.9000000000000001E-2</v>
      </c>
      <c r="F149" s="250"/>
      <c r="G149" s="250"/>
      <c r="H149" s="250"/>
      <c r="I149" s="247">
        <f t="shared" si="17"/>
        <v>145</v>
      </c>
      <c r="J149" s="247">
        <f t="shared" si="18"/>
        <v>0</v>
      </c>
      <c r="K149" s="247">
        <f t="shared" si="19"/>
        <v>0</v>
      </c>
      <c r="L149" s="247">
        <f t="shared" si="20"/>
        <v>0</v>
      </c>
    </row>
    <row r="150" spans="1:13" ht="24.75" customHeight="1">
      <c r="A150" s="244">
        <v>12</v>
      </c>
      <c r="B150" s="245" t="s">
        <v>356</v>
      </c>
      <c r="C150" s="244" t="s">
        <v>323</v>
      </c>
      <c r="D150" s="212">
        <f>'Gia_Dcu-Tbi-Vlieu'!$D$51</f>
        <v>20000</v>
      </c>
      <c r="E150" s="541">
        <v>0.01</v>
      </c>
      <c r="F150" s="250"/>
      <c r="G150" s="250"/>
      <c r="H150" s="250"/>
      <c r="I150" s="247">
        <f t="shared" si="17"/>
        <v>200</v>
      </c>
      <c r="J150" s="247">
        <f t="shared" si="18"/>
        <v>0</v>
      </c>
      <c r="K150" s="247">
        <f t="shared" si="19"/>
        <v>0</v>
      </c>
      <c r="L150" s="247">
        <f t="shared" si="20"/>
        <v>0</v>
      </c>
    </row>
    <row r="151" spans="1:13" ht="24.75" customHeight="1">
      <c r="A151" s="244">
        <v>13</v>
      </c>
      <c r="B151" s="245" t="s">
        <v>357</v>
      </c>
      <c r="C151" s="244" t="s">
        <v>323</v>
      </c>
      <c r="D151" s="212">
        <f>'Gia_Dcu-Tbi-Vlieu'!$D$52</f>
        <v>10000</v>
      </c>
      <c r="E151" s="541">
        <v>7.0000000000000001E-3</v>
      </c>
      <c r="F151" s="250"/>
      <c r="G151" s="250"/>
      <c r="H151" s="250"/>
      <c r="I151" s="247">
        <f t="shared" si="17"/>
        <v>70</v>
      </c>
      <c r="J151" s="247">
        <f t="shared" si="18"/>
        <v>0</v>
      </c>
      <c r="K151" s="247">
        <f t="shared" si="19"/>
        <v>0</v>
      </c>
      <c r="L151" s="247">
        <f t="shared" si="20"/>
        <v>0</v>
      </c>
    </row>
    <row r="152" spans="1:13" ht="24.75" customHeight="1">
      <c r="A152" s="244">
        <v>14</v>
      </c>
      <c r="B152" s="174" t="s">
        <v>384</v>
      </c>
      <c r="C152" s="244" t="s">
        <v>359</v>
      </c>
      <c r="D152" s="212">
        <f>'Gia_Dcu-Tbi-Vlieu'!$D$54</f>
        <v>770</v>
      </c>
      <c r="E152" s="541">
        <v>1</v>
      </c>
      <c r="F152" s="250"/>
      <c r="G152" s="250"/>
      <c r="H152" s="250"/>
      <c r="I152" s="247">
        <f t="shared" si="17"/>
        <v>770</v>
      </c>
      <c r="J152" s="247">
        <f>$D152*F152</f>
        <v>0</v>
      </c>
      <c r="K152" s="247">
        <f>$D152*G152</f>
        <v>0</v>
      </c>
      <c r="L152" s="247">
        <f>$D152*H152</f>
        <v>0</v>
      </c>
    </row>
    <row r="153" spans="1:13" s="11" customFormat="1" ht="24.75" customHeight="1">
      <c r="A153" s="167"/>
      <c r="B153" s="177" t="s">
        <v>456</v>
      </c>
      <c r="C153" s="167"/>
      <c r="D153" s="178"/>
      <c r="E153" s="216"/>
      <c r="F153" s="216"/>
      <c r="G153" s="216"/>
      <c r="H153" s="217">
        <v>1</v>
      </c>
      <c r="I153" s="179">
        <f>SUM(I139:I152)*$H153</f>
        <v>31754</v>
      </c>
      <c r="J153" s="179">
        <f>SUM(J139:J152)*$H153</f>
        <v>0</v>
      </c>
      <c r="K153" s="179">
        <f>SUM(K139:K152)*$H153</f>
        <v>0</v>
      </c>
      <c r="L153" s="179">
        <f>SUM(L139:L152)*$H153</f>
        <v>0</v>
      </c>
    </row>
    <row r="154" spans="1:13" ht="24.75" customHeight="1">
      <c r="A154" s="244"/>
      <c r="B154" s="257" t="s">
        <v>385</v>
      </c>
      <c r="C154" s="244"/>
      <c r="D154" s="246"/>
      <c r="E154" s="258"/>
      <c r="F154" s="258"/>
      <c r="G154" s="258"/>
      <c r="H154" s="258"/>
      <c r="I154" s="247"/>
      <c r="J154" s="247"/>
      <c r="K154" s="247"/>
      <c r="L154" s="247"/>
    </row>
    <row r="155" spans="1:13" ht="41.25" customHeight="1">
      <c r="A155" s="173"/>
      <c r="B155" s="1078" t="s">
        <v>407</v>
      </c>
      <c r="C155" s="1078"/>
      <c r="D155" s="1078"/>
      <c r="E155" s="260"/>
      <c r="F155" s="260"/>
      <c r="G155" s="260"/>
      <c r="H155" s="260"/>
      <c r="I155" s="247"/>
      <c r="J155" s="247"/>
      <c r="K155" s="247"/>
      <c r="L155" s="247"/>
    </row>
    <row r="156" spans="1:13" ht="81" customHeight="1">
      <c r="A156" s="173"/>
      <c r="B156" s="1078" t="s">
        <v>806</v>
      </c>
      <c r="C156" s="1078"/>
      <c r="D156" s="1078"/>
      <c r="E156" s="260">
        <v>0.6</v>
      </c>
      <c r="F156" s="260">
        <v>0.6</v>
      </c>
      <c r="G156" s="260">
        <v>0.6</v>
      </c>
      <c r="H156" s="260">
        <v>0.6</v>
      </c>
      <c r="I156" s="247">
        <f>E156*I153-M145</f>
        <v>10380.399999999998</v>
      </c>
      <c r="J156" s="247">
        <f>$I$153*F156-$M$145</f>
        <v>10380.399999999998</v>
      </c>
      <c r="K156" s="247">
        <f>$I$153*G156-$M$145</f>
        <v>10380.399999999998</v>
      </c>
      <c r="L156" s="247">
        <f>$I$153*H156-$M$145</f>
        <v>10380.399999999998</v>
      </c>
    </row>
    <row r="157" spans="1:13" s="30" customFormat="1">
      <c r="A157" s="244"/>
      <c r="B157" s="245"/>
      <c r="C157" s="244"/>
      <c r="D157" s="246"/>
      <c r="E157" s="258"/>
      <c r="F157" s="258"/>
      <c r="G157" s="258"/>
      <c r="H157" s="258"/>
      <c r="I157" s="247"/>
      <c r="J157" s="247"/>
      <c r="K157" s="247"/>
      <c r="L157" s="247"/>
    </row>
    <row r="158" spans="1:13" s="9" customFormat="1" ht="36.75" customHeight="1">
      <c r="A158" s="236" t="str">
        <f>L_CViec!A427</f>
        <v>VIII</v>
      </c>
      <c r="B158" s="1032" t="str">
        <f>L_CViec!B427</f>
        <v xml:space="preserve">Đăng ký biến động đất đai đối với tổ chức, tổ chức tôn giáo, tổ chức tôn giáo trực thuộc, tổ chức nước ngoài có chức năng ngoại giao, tổ chức kinh tế có vốn đầu tư nước ngoài, tổ chức nước ngoài, cá nhân nước ngoài </v>
      </c>
      <c r="C158" s="1032"/>
      <c r="D158" s="1032"/>
      <c r="E158" s="1032" t="s">
        <v>404</v>
      </c>
      <c r="F158" s="1032"/>
      <c r="G158" s="1032"/>
      <c r="H158" s="237"/>
      <c r="I158" s="237"/>
      <c r="J158" s="821" t="s">
        <v>807</v>
      </c>
      <c r="L158" s="4"/>
    </row>
    <row r="159" spans="1:13" s="9" customFormat="1" ht="36.75" customHeight="1">
      <c r="A159" s="236"/>
      <c r="B159" s="535"/>
      <c r="C159" s="535"/>
      <c r="D159" s="535"/>
      <c r="E159" s="535"/>
      <c r="F159" s="535"/>
      <c r="G159" s="236" t="s">
        <v>321</v>
      </c>
      <c r="H159" s="237"/>
      <c r="I159" s="237"/>
      <c r="J159" s="236" t="s">
        <v>321</v>
      </c>
      <c r="L159" s="4"/>
    </row>
    <row r="160" spans="1:13" s="30" customFormat="1" ht="20.25" customHeight="1">
      <c r="A160" s="244">
        <v>1</v>
      </c>
      <c r="B160" s="245" t="s">
        <v>116</v>
      </c>
      <c r="C160" s="244" t="s">
        <v>323</v>
      </c>
      <c r="D160" s="212">
        <f>'Gia_Dcu-Tbi-Vlieu'!$D$40</f>
        <v>15000</v>
      </c>
      <c r="E160" s="250"/>
      <c r="F160" s="250"/>
      <c r="G160" s="250">
        <v>8.0000000000000002E-3</v>
      </c>
      <c r="H160" s="247">
        <f t="shared" ref="H160:H172" si="21">$D160*E160</f>
        <v>0</v>
      </c>
      <c r="I160" s="247">
        <f t="shared" ref="I160:I172" si="22">$D160*F160</f>
        <v>0</v>
      </c>
      <c r="J160" s="247">
        <f t="shared" ref="J160:J172" si="23">$D160*G160</f>
        <v>120</v>
      </c>
      <c r="L160" s="4"/>
    </row>
    <row r="161" spans="1:12" ht="20.25" customHeight="1">
      <c r="A161" s="244">
        <v>2</v>
      </c>
      <c r="B161" s="245" t="s">
        <v>346</v>
      </c>
      <c r="C161" s="244" t="s">
        <v>347</v>
      </c>
      <c r="D161" s="212">
        <f>'Gia_Dcu-Tbi-Vlieu'!$D$42</f>
        <v>12000</v>
      </c>
      <c r="E161" s="250"/>
      <c r="F161" s="250"/>
      <c r="G161" s="250">
        <v>4.0000000000000001E-3</v>
      </c>
      <c r="H161" s="247">
        <f t="shared" si="21"/>
        <v>0</v>
      </c>
      <c r="I161" s="247">
        <f t="shared" si="22"/>
        <v>0</v>
      </c>
      <c r="J161" s="247">
        <f t="shared" si="23"/>
        <v>48</v>
      </c>
    </row>
    <row r="162" spans="1:12" ht="20.25" customHeight="1">
      <c r="A162" s="244">
        <v>3</v>
      </c>
      <c r="B162" s="245" t="s">
        <v>348</v>
      </c>
      <c r="C162" s="244" t="s">
        <v>347</v>
      </c>
      <c r="D162" s="212">
        <f>'Gia_Dcu-Tbi-Vlieu'!$D$43</f>
        <v>3500</v>
      </c>
      <c r="E162" s="250"/>
      <c r="F162" s="250"/>
      <c r="G162" s="250">
        <v>6.0000000000000001E-3</v>
      </c>
      <c r="H162" s="247">
        <f t="shared" si="21"/>
        <v>0</v>
      </c>
      <c r="I162" s="247">
        <f t="shared" si="22"/>
        <v>0</v>
      </c>
      <c r="J162" s="247">
        <f t="shared" si="23"/>
        <v>21</v>
      </c>
    </row>
    <row r="163" spans="1:12" ht="20.25" customHeight="1">
      <c r="A163" s="244">
        <v>4</v>
      </c>
      <c r="B163" s="245" t="s">
        <v>349</v>
      </c>
      <c r="C163" s="244" t="s">
        <v>347</v>
      </c>
      <c r="D163" s="212">
        <f>'Gia_Dcu-Tbi-Vlieu'!$D$44</f>
        <v>1600000</v>
      </c>
      <c r="E163" s="250"/>
      <c r="F163" s="250"/>
      <c r="G163" s="250">
        <v>2E-3</v>
      </c>
      <c r="H163" s="247">
        <f t="shared" si="21"/>
        <v>0</v>
      </c>
      <c r="I163" s="247">
        <f t="shared" si="22"/>
        <v>0</v>
      </c>
      <c r="J163" s="247">
        <f t="shared" si="23"/>
        <v>3200</v>
      </c>
    </row>
    <row r="164" spans="1:12" ht="20.25" customHeight="1">
      <c r="A164" s="244">
        <v>5</v>
      </c>
      <c r="B164" s="245" t="s">
        <v>350</v>
      </c>
      <c r="C164" s="244" t="s">
        <v>347</v>
      </c>
      <c r="D164" s="212">
        <f>'Gia_Dcu-Tbi-Vlieu'!$D$45</f>
        <v>1600000</v>
      </c>
      <c r="E164" s="250"/>
      <c r="F164" s="250"/>
      <c r="G164" s="250">
        <v>3.0000000000000001E-3</v>
      </c>
      <c r="H164" s="247">
        <f t="shared" si="21"/>
        <v>0</v>
      </c>
      <c r="I164" s="247">
        <f t="shared" si="22"/>
        <v>0</v>
      </c>
      <c r="J164" s="247">
        <f t="shared" si="23"/>
        <v>4800</v>
      </c>
    </row>
    <row r="165" spans="1:12" ht="20.25" customHeight="1">
      <c r="A165" s="244">
        <v>6</v>
      </c>
      <c r="B165" s="245" t="s">
        <v>351</v>
      </c>
      <c r="C165" s="244" t="s">
        <v>347</v>
      </c>
      <c r="D165" s="212">
        <f>'Gia_Dcu-Tbi-Vlieu'!$D$46</f>
        <v>2900000</v>
      </c>
      <c r="E165" s="250"/>
      <c r="F165" s="250"/>
      <c r="G165" s="250">
        <v>2E-3</v>
      </c>
      <c r="H165" s="247">
        <f t="shared" si="21"/>
        <v>0</v>
      </c>
      <c r="I165" s="247">
        <f t="shared" si="22"/>
        <v>0</v>
      </c>
      <c r="J165" s="247">
        <f t="shared" si="23"/>
        <v>5800</v>
      </c>
    </row>
    <row r="166" spans="1:12" ht="20.25" customHeight="1">
      <c r="A166" s="244">
        <v>7</v>
      </c>
      <c r="B166" s="245" t="s">
        <v>141</v>
      </c>
      <c r="C166" s="244" t="s">
        <v>143</v>
      </c>
      <c r="D166" s="212">
        <f>'Gia_Dcu-Tbi-Vlieu'!$D$47</f>
        <v>8672</v>
      </c>
      <c r="E166" s="250"/>
      <c r="F166" s="250"/>
      <c r="G166" s="250">
        <v>1</v>
      </c>
      <c r="H166" s="247">
        <f t="shared" si="21"/>
        <v>0</v>
      </c>
      <c r="I166" s="247">
        <f t="shared" si="22"/>
        <v>0</v>
      </c>
      <c r="J166" s="247">
        <f t="shared" si="23"/>
        <v>8672</v>
      </c>
    </row>
    <row r="167" spans="1:12" ht="20.25" customHeight="1">
      <c r="A167" s="244">
        <v>8</v>
      </c>
      <c r="B167" s="245" t="s">
        <v>352</v>
      </c>
      <c r="C167" s="244" t="s">
        <v>353</v>
      </c>
      <c r="D167" s="212">
        <f>'Gia_Dcu-Tbi-Vlieu'!$D$48</f>
        <v>70000</v>
      </c>
      <c r="E167" s="250"/>
      <c r="F167" s="250"/>
      <c r="G167" s="250">
        <v>2.9000000000000001E-2</v>
      </c>
      <c r="H167" s="247">
        <f t="shared" si="21"/>
        <v>0</v>
      </c>
      <c r="I167" s="247">
        <f t="shared" si="22"/>
        <v>0</v>
      </c>
      <c r="J167" s="247">
        <f t="shared" si="23"/>
        <v>2030</v>
      </c>
    </row>
    <row r="168" spans="1:12" ht="20.25" customHeight="1">
      <c r="A168" s="244">
        <v>9</v>
      </c>
      <c r="B168" s="245" t="s">
        <v>354</v>
      </c>
      <c r="C168" s="244" t="s">
        <v>353</v>
      </c>
      <c r="D168" s="212">
        <f>'Gia_Dcu-Tbi-Vlieu'!$D$49</f>
        <v>140000</v>
      </c>
      <c r="E168" s="250"/>
      <c r="F168" s="250"/>
      <c r="G168" s="250">
        <v>6.0000000000000001E-3</v>
      </c>
      <c r="H168" s="247">
        <f t="shared" si="21"/>
        <v>0</v>
      </c>
      <c r="I168" s="247">
        <f t="shared" si="22"/>
        <v>0</v>
      </c>
      <c r="J168" s="247">
        <f t="shared" si="23"/>
        <v>840</v>
      </c>
    </row>
    <row r="169" spans="1:12" ht="20.25" customHeight="1">
      <c r="A169" s="244">
        <v>10</v>
      </c>
      <c r="B169" s="245" t="s">
        <v>751</v>
      </c>
      <c r="C169" s="244" t="s">
        <v>752</v>
      </c>
      <c r="D169" s="212">
        <f>D148</f>
        <v>10000</v>
      </c>
      <c r="E169" s="250"/>
      <c r="F169" s="250"/>
      <c r="G169" s="250">
        <v>5.0000000000000001E-3</v>
      </c>
      <c r="H169" s="247"/>
      <c r="I169" s="247"/>
      <c r="J169" s="247">
        <f t="shared" si="23"/>
        <v>50</v>
      </c>
    </row>
    <row r="170" spans="1:12" s="30" customFormat="1" ht="20.25" customHeight="1">
      <c r="A170" s="244">
        <v>11</v>
      </c>
      <c r="B170" s="245" t="s">
        <v>41</v>
      </c>
      <c r="C170" s="244" t="s">
        <v>355</v>
      </c>
      <c r="D170" s="212">
        <f>'Gia_Dcu-Tbi-Vlieu'!$D$50</f>
        <v>5000</v>
      </c>
      <c r="E170" s="250"/>
      <c r="F170" s="250"/>
      <c r="G170" s="250">
        <v>0.03</v>
      </c>
      <c r="H170" s="247">
        <f t="shared" si="21"/>
        <v>0</v>
      </c>
      <c r="I170" s="247">
        <f t="shared" si="22"/>
        <v>0</v>
      </c>
      <c r="J170" s="247">
        <f t="shared" si="23"/>
        <v>150</v>
      </c>
      <c r="L170" s="4"/>
    </row>
    <row r="171" spans="1:12" ht="20.25" customHeight="1">
      <c r="A171" s="244">
        <v>12</v>
      </c>
      <c r="B171" s="245" t="s">
        <v>356</v>
      </c>
      <c r="C171" s="244" t="s">
        <v>323</v>
      </c>
      <c r="D171" s="212">
        <f>'Gia_Dcu-Tbi-Vlieu'!$D$51</f>
        <v>20000</v>
      </c>
      <c r="E171" s="250"/>
      <c r="F171" s="250"/>
      <c r="G171" s="250">
        <v>5.0000000000000001E-3</v>
      </c>
      <c r="H171" s="247">
        <f t="shared" si="21"/>
        <v>0</v>
      </c>
      <c r="I171" s="247">
        <f t="shared" si="22"/>
        <v>0</v>
      </c>
      <c r="J171" s="247">
        <f t="shared" si="23"/>
        <v>100</v>
      </c>
    </row>
    <row r="172" spans="1:12" ht="20.25" customHeight="1">
      <c r="A172" s="244">
        <v>13</v>
      </c>
      <c r="B172" s="245" t="s">
        <v>357</v>
      </c>
      <c r="C172" s="244" t="s">
        <v>323</v>
      </c>
      <c r="D172" s="212">
        <f>'Gia_Dcu-Tbi-Vlieu'!$D$52</f>
        <v>10000</v>
      </c>
      <c r="E172" s="250"/>
      <c r="F172" s="250"/>
      <c r="G172" s="250">
        <v>4.0000000000000001E-3</v>
      </c>
      <c r="H172" s="247">
        <f t="shared" si="21"/>
        <v>0</v>
      </c>
      <c r="I172" s="247">
        <f t="shared" si="22"/>
        <v>0</v>
      </c>
      <c r="J172" s="247">
        <f t="shared" si="23"/>
        <v>40</v>
      </c>
    </row>
    <row r="173" spans="1:12" ht="20.25" customHeight="1">
      <c r="A173" s="244">
        <v>14</v>
      </c>
      <c r="B173" s="245" t="s">
        <v>384</v>
      </c>
      <c r="C173" s="244" t="s">
        <v>359</v>
      </c>
      <c r="D173" s="212">
        <f>'Gia_Dcu-Tbi-Vlieu'!$D$54</f>
        <v>770</v>
      </c>
      <c r="E173" s="250"/>
      <c r="F173" s="250"/>
      <c r="G173" s="250">
        <v>1</v>
      </c>
      <c r="H173" s="247">
        <f>$D173*E173</f>
        <v>0</v>
      </c>
      <c r="I173" s="247">
        <f>$D173*F173</f>
        <v>0</v>
      </c>
      <c r="J173" s="247">
        <f>$D173*G173</f>
        <v>770</v>
      </c>
    </row>
    <row r="174" spans="1:12" s="11" customFormat="1" ht="20.25" customHeight="1">
      <c r="A174" s="167"/>
      <c r="B174" s="177" t="s">
        <v>456</v>
      </c>
      <c r="C174" s="167"/>
      <c r="D174" s="178"/>
      <c r="E174" s="216"/>
      <c r="F174" s="216"/>
      <c r="G174" s="217">
        <v>1</v>
      </c>
      <c r="H174" s="179"/>
      <c r="I174" s="179"/>
      <c r="J174" s="179">
        <f>SUM(J160:J173)*$G174</f>
        <v>26641</v>
      </c>
    </row>
    <row r="175" spans="1:12" ht="20.25" customHeight="1">
      <c r="A175" s="244"/>
      <c r="B175" s="1068" t="s">
        <v>385</v>
      </c>
      <c r="C175" s="1031"/>
      <c r="D175" s="1031"/>
      <c r="E175" s="1031"/>
      <c r="F175" s="1031"/>
      <c r="G175" s="1031"/>
      <c r="H175" s="247"/>
      <c r="I175" s="247"/>
      <c r="J175" s="247"/>
    </row>
    <row r="176" spans="1:12" ht="35.25" customHeight="1">
      <c r="A176" s="244"/>
      <c r="B176" s="1071" t="s">
        <v>407</v>
      </c>
      <c r="C176" s="1071"/>
      <c r="D176" s="1071"/>
      <c r="E176" s="258"/>
      <c r="F176" s="258"/>
      <c r="G176" s="258"/>
      <c r="H176" s="247"/>
      <c r="I176" s="247"/>
      <c r="J176" s="247"/>
    </row>
    <row r="177" spans="1:12" s="30" customFormat="1" ht="31.5" customHeight="1">
      <c r="A177" s="244"/>
      <c r="B177" s="1071" t="s">
        <v>808</v>
      </c>
      <c r="C177" s="1071"/>
      <c r="D177" s="1071"/>
      <c r="E177" s="266"/>
      <c r="F177" s="266"/>
      <c r="G177" s="266">
        <v>0.02</v>
      </c>
      <c r="H177" s="247"/>
      <c r="I177" s="247"/>
      <c r="J177" s="247">
        <f>G177*J174</f>
        <v>532.82000000000005</v>
      </c>
      <c r="L177" s="4"/>
    </row>
    <row r="178" spans="1:12" ht="85.5" customHeight="1">
      <c r="A178" s="244"/>
      <c r="B178" s="1071" t="s">
        <v>809</v>
      </c>
      <c r="C178" s="1071"/>
      <c r="D178" s="1071"/>
      <c r="E178" s="266"/>
      <c r="F178" s="266"/>
      <c r="G178" s="266">
        <v>0.6</v>
      </c>
      <c r="H178" s="247"/>
      <c r="I178" s="247"/>
      <c r="J178" s="247">
        <f>G178*J174</f>
        <v>15984.599999999999</v>
      </c>
    </row>
    <row r="179" spans="1:12" ht="33" customHeight="1">
      <c r="A179" s="244"/>
      <c r="B179" s="245"/>
      <c r="C179" s="244"/>
      <c r="D179" s="246"/>
      <c r="E179" s="266"/>
      <c r="F179" s="266"/>
      <c r="G179" s="266"/>
      <c r="H179" s="247"/>
      <c r="I179" s="247"/>
      <c r="J179" s="247"/>
    </row>
    <row r="180" spans="1:12" s="9" customFormat="1" ht="33" customHeight="1">
      <c r="A180" s="236" t="str">
        <f>L_CViec!A478</f>
        <v>XI</v>
      </c>
      <c r="B180" s="1032" t="str">
        <f>L_CViec!B478</f>
        <v>TRÍCH LỤC HỒ SƠ ĐỊA CHÍNH</v>
      </c>
      <c r="C180" s="1032"/>
      <c r="D180" s="1032"/>
      <c r="E180" s="1032"/>
      <c r="F180" s="1032"/>
      <c r="G180" s="1032">
        <v>0.04</v>
      </c>
      <c r="H180" s="237"/>
      <c r="I180" s="237"/>
      <c r="J180" s="238" t="s">
        <v>413</v>
      </c>
      <c r="L180" s="4"/>
    </row>
    <row r="181" spans="1:12" s="30" customFormat="1" ht="20.25" customHeight="1">
      <c r="A181" s="244">
        <v>1</v>
      </c>
      <c r="B181" s="245" t="s">
        <v>116</v>
      </c>
      <c r="C181" s="244" t="s">
        <v>323</v>
      </c>
      <c r="D181" s="212">
        <f>'Gia_Dcu-Tbi-Vlieu'!$D$40</f>
        <v>15000</v>
      </c>
      <c r="E181" s="250">
        <v>1.4999999999999999E-2</v>
      </c>
      <c r="F181" s="250"/>
      <c r="G181" s="250"/>
      <c r="H181" s="247">
        <f t="shared" ref="H181:H186" si="24">$D181*E181</f>
        <v>225</v>
      </c>
      <c r="I181" s="247">
        <f t="shared" ref="I181:I186" si="25">$D181*F181</f>
        <v>0</v>
      </c>
      <c r="J181" s="247">
        <f t="shared" ref="J181:J186" si="26">$D181*G181</f>
        <v>0</v>
      </c>
      <c r="L181" s="4"/>
    </row>
    <row r="182" spans="1:12" ht="20.25" customHeight="1">
      <c r="A182" s="244">
        <v>2</v>
      </c>
      <c r="B182" s="245" t="s">
        <v>346</v>
      </c>
      <c r="C182" s="244" t="s">
        <v>347</v>
      </c>
      <c r="D182" s="212">
        <f>'Gia_Dcu-Tbi-Vlieu'!$D$42</f>
        <v>12000</v>
      </c>
      <c r="E182" s="250">
        <v>0.3</v>
      </c>
      <c r="F182" s="250"/>
      <c r="G182" s="250"/>
      <c r="H182" s="247">
        <f t="shared" si="24"/>
        <v>3600</v>
      </c>
      <c r="I182" s="247">
        <f t="shared" si="25"/>
        <v>0</v>
      </c>
      <c r="J182" s="247">
        <f t="shared" si="26"/>
        <v>0</v>
      </c>
    </row>
    <row r="183" spans="1:12" ht="20.25" customHeight="1">
      <c r="A183" s="244">
        <v>3</v>
      </c>
      <c r="B183" s="245" t="s">
        <v>348</v>
      </c>
      <c r="C183" s="244" t="s">
        <v>347</v>
      </c>
      <c r="D183" s="212">
        <f>'Gia_Dcu-Tbi-Vlieu'!$D$43</f>
        <v>3500</v>
      </c>
      <c r="E183" s="250">
        <v>0.15</v>
      </c>
      <c r="F183" s="250"/>
      <c r="G183" s="250"/>
      <c r="H183" s="247">
        <f t="shared" si="24"/>
        <v>525</v>
      </c>
      <c r="I183" s="247">
        <f t="shared" si="25"/>
        <v>0</v>
      </c>
      <c r="J183" s="247">
        <f t="shared" si="26"/>
        <v>0</v>
      </c>
    </row>
    <row r="184" spans="1:12" ht="20.25" customHeight="1">
      <c r="A184" s="244">
        <v>4</v>
      </c>
      <c r="B184" s="245" t="s">
        <v>349</v>
      </c>
      <c r="C184" s="244" t="s">
        <v>347</v>
      </c>
      <c r="D184" s="212">
        <f>'Gia_Dcu-Tbi-Vlieu'!$D$44</f>
        <v>1600000</v>
      </c>
      <c r="E184" s="250">
        <v>6.0000000000000001E-3</v>
      </c>
      <c r="F184" s="250"/>
      <c r="G184" s="250"/>
      <c r="H184" s="247">
        <f t="shared" si="24"/>
        <v>9600</v>
      </c>
      <c r="I184" s="247">
        <f t="shared" si="25"/>
        <v>0</v>
      </c>
      <c r="J184" s="247">
        <f t="shared" si="26"/>
        <v>0</v>
      </c>
    </row>
    <row r="185" spans="1:12" ht="20.25" customHeight="1">
      <c r="A185" s="244">
        <v>5</v>
      </c>
      <c r="B185" s="245" t="s">
        <v>350</v>
      </c>
      <c r="C185" s="244" t="s">
        <v>347</v>
      </c>
      <c r="D185" s="212">
        <f>'Gia_Dcu-Tbi-Vlieu'!$D$45</f>
        <v>1600000</v>
      </c>
      <c r="E185" s="250">
        <v>1.2E-2</v>
      </c>
      <c r="F185" s="250"/>
      <c r="G185" s="250"/>
      <c r="H185" s="247">
        <f t="shared" si="24"/>
        <v>19200</v>
      </c>
      <c r="I185" s="247">
        <f t="shared" si="25"/>
        <v>0</v>
      </c>
      <c r="J185" s="247">
        <f t="shared" si="26"/>
        <v>0</v>
      </c>
    </row>
    <row r="186" spans="1:12" ht="20.25" customHeight="1">
      <c r="A186" s="244">
        <v>6</v>
      </c>
      <c r="B186" s="245" t="s">
        <v>352</v>
      </c>
      <c r="C186" s="244" t="s">
        <v>353</v>
      </c>
      <c r="D186" s="212">
        <f>'Gia_Dcu-Tbi-Vlieu'!$D$48</f>
        <v>70000</v>
      </c>
      <c r="E186" s="250">
        <v>0.09</v>
      </c>
      <c r="F186" s="250"/>
      <c r="G186" s="250"/>
      <c r="H186" s="247">
        <f t="shared" si="24"/>
        <v>6300</v>
      </c>
      <c r="I186" s="247">
        <f t="shared" si="25"/>
        <v>0</v>
      </c>
      <c r="J186" s="247">
        <f t="shared" si="26"/>
        <v>0</v>
      </c>
    </row>
    <row r="187" spans="1:12" s="11" customFormat="1" ht="20.25" customHeight="1">
      <c r="A187" s="167"/>
      <c r="B187" s="177" t="s">
        <v>456</v>
      </c>
      <c r="C187" s="167"/>
      <c r="D187" s="178"/>
      <c r="E187" s="216"/>
      <c r="F187" s="216"/>
      <c r="G187" s="217">
        <v>1</v>
      </c>
      <c r="H187" s="179">
        <f>SUM(H181:H186)*$G187</f>
        <v>39450</v>
      </c>
      <c r="I187" s="179"/>
      <c r="J187" s="179"/>
    </row>
    <row r="188" spans="1:12" ht="20.25" customHeight="1">
      <c r="A188" s="244"/>
      <c r="B188" s="1079" t="s">
        <v>385</v>
      </c>
      <c r="C188" s="1031"/>
      <c r="D188" s="1031"/>
      <c r="E188" s="1031"/>
      <c r="F188" s="1031"/>
      <c r="G188" s="1031"/>
      <c r="H188" s="247"/>
      <c r="I188" s="247"/>
      <c r="J188" s="247"/>
    </row>
    <row r="189" spans="1:12" ht="31.5" customHeight="1">
      <c r="A189" s="244"/>
      <c r="B189" s="1073" t="s">
        <v>295</v>
      </c>
      <c r="C189" s="1073"/>
      <c r="D189" s="1073"/>
      <c r="E189" s="269"/>
      <c r="F189" s="269"/>
      <c r="G189" s="269"/>
      <c r="H189" s="247"/>
      <c r="I189" s="247"/>
      <c r="J189" s="247"/>
    </row>
    <row r="190" spans="1:12" ht="31.5" customHeight="1">
      <c r="A190" s="244"/>
      <c r="B190" s="1073" t="s">
        <v>414</v>
      </c>
      <c r="C190" s="1073"/>
      <c r="D190" s="1073"/>
      <c r="E190" s="269">
        <v>0.8</v>
      </c>
      <c r="F190" s="269"/>
      <c r="G190" s="269"/>
      <c r="H190" s="247">
        <f>E190*H$187</f>
        <v>31560</v>
      </c>
      <c r="I190" s="247"/>
      <c r="J190" s="247"/>
    </row>
    <row r="191" spans="1:12" ht="31.5" customHeight="1">
      <c r="A191" s="244"/>
      <c r="B191" s="1073" t="s">
        <v>415</v>
      </c>
      <c r="C191" s="1073"/>
      <c r="D191" s="1073"/>
      <c r="E191" s="269">
        <v>0.65</v>
      </c>
      <c r="F191" s="269"/>
      <c r="G191" s="269"/>
      <c r="H191" s="247">
        <f>E191*H$187</f>
        <v>25642.5</v>
      </c>
      <c r="I191" s="247"/>
      <c r="J191" s="247"/>
    </row>
    <row r="192" spans="1:12" ht="31.5" customHeight="1">
      <c r="A192" s="244"/>
      <c r="B192" s="1073" t="s">
        <v>416</v>
      </c>
      <c r="C192" s="1073"/>
      <c r="D192" s="1073"/>
      <c r="E192" s="256">
        <v>0.5</v>
      </c>
      <c r="F192" s="256"/>
      <c r="G192" s="256"/>
      <c r="H192" s="247">
        <f>E192*H$187</f>
        <v>19725</v>
      </c>
      <c r="I192" s="247"/>
      <c r="J192" s="247"/>
    </row>
  </sheetData>
  <mergeCells count="58">
    <mergeCell ref="E30:H30"/>
    <mergeCell ref="B27:D27"/>
    <mergeCell ref="B190:D190"/>
    <mergeCell ref="B180:G180"/>
    <mergeCell ref="B5:G5"/>
    <mergeCell ref="B52:G52"/>
    <mergeCell ref="B72:G72"/>
    <mergeCell ref="B98:G98"/>
    <mergeCell ref="B158:G158"/>
    <mergeCell ref="B70:J70"/>
    <mergeCell ref="B94:D94"/>
    <mergeCell ref="B95:D95"/>
    <mergeCell ref="B138:G138"/>
    <mergeCell ref="B155:D155"/>
    <mergeCell ref="B114:G114"/>
    <mergeCell ref="B51:D51"/>
    <mergeCell ref="A135:A137"/>
    <mergeCell ref="B135:B137"/>
    <mergeCell ref="C135:C137"/>
    <mergeCell ref="D135:D137"/>
    <mergeCell ref="E135:H135"/>
    <mergeCell ref="B192:D192"/>
    <mergeCell ref="B177:D177"/>
    <mergeCell ref="B178:D178"/>
    <mergeCell ref="B188:G188"/>
    <mergeCell ref="B189:D189"/>
    <mergeCell ref="I135:L135"/>
    <mergeCell ref="I136:J136"/>
    <mergeCell ref="K136:L136"/>
    <mergeCell ref="B176:D176"/>
    <mergeCell ref="B191:D191"/>
    <mergeCell ref="E136:F136"/>
    <mergeCell ref="G136:H136"/>
    <mergeCell ref="B156:D156"/>
    <mergeCell ref="B175:G175"/>
    <mergeCell ref="G31:H31"/>
    <mergeCell ref="I31:J31"/>
    <mergeCell ref="B133:G133"/>
    <mergeCell ref="E31:F31"/>
    <mergeCell ref="B116:G116"/>
    <mergeCell ref="B96:D96"/>
    <mergeCell ref="B33:G33"/>
    <mergeCell ref="A1:J1"/>
    <mergeCell ref="A30:A32"/>
    <mergeCell ref="B30:B32"/>
    <mergeCell ref="C30:C32"/>
    <mergeCell ref="D3:D4"/>
    <mergeCell ref="B25:D25"/>
    <mergeCell ref="B26:D26"/>
    <mergeCell ref="C3:C4"/>
    <mergeCell ref="D30:D32"/>
    <mergeCell ref="A3:A4"/>
    <mergeCell ref="B3:B4"/>
    <mergeCell ref="E3:G3"/>
    <mergeCell ref="H3:J3"/>
    <mergeCell ref="H2:I2"/>
    <mergeCell ref="I30:L30"/>
    <mergeCell ref="K31:L31"/>
  </mergeCells>
  <printOptions horizontalCentered="1"/>
  <pageMargins left="0.39370078740157499" right="0.196850393700787" top="0.39" bottom="0.45" header="0.18" footer="0.196850393700787"/>
  <pageSetup paperSize="9" firstPageNumber="103" orientation="landscape" useFirstPageNumber="1" r:id="rId1"/>
  <headerFooter alignWithMargins="0">
    <oddFooter>&amp;C&amp;P</oddFooter>
  </headerFooter>
  <ignoredErrors>
    <ignoredError sqref="D124 D145 D16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Gia_Dcu-Tbi-Vlieu</vt:lpstr>
      <vt:lpstr>Chung-thu</vt:lpstr>
      <vt:lpstr>L_CBac</vt:lpstr>
      <vt:lpstr>L_CViec</vt:lpstr>
      <vt:lpstr>NCong</vt:lpstr>
      <vt:lpstr>Dcu</vt:lpstr>
      <vt:lpstr>Tbi</vt:lpstr>
      <vt:lpstr>VLieu</vt:lpstr>
      <vt:lpstr>DGSP_ChiTiet</vt:lpstr>
      <vt:lpstr>DGSP_RutGon</vt:lpstr>
      <vt:lpstr>DGSP_ChiTiet!Print_Area</vt:lpstr>
      <vt:lpstr>DGSP_RutGon!Print_Area</vt:lpstr>
      <vt:lpstr>NCong!Print_Area</vt:lpstr>
      <vt:lpstr>Tbi!Print_Area</vt:lpstr>
      <vt:lpstr>VLieu!Print_Area</vt:lpstr>
      <vt:lpstr>DGSP_ChiTiet!Print_Titles</vt:lpstr>
      <vt:lpstr>DGSP_RutGon!Print_Titles</vt:lpstr>
      <vt:lpstr>L_CBac!Print_Titles</vt:lpstr>
      <vt:lpstr>NCong!Print_Titles</vt:lpstr>
      <vt:lpstr>Tbi!Print_Titles</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VAN HAI</dc:creator>
  <cp:lastModifiedBy>Tuan Anh Phi</cp:lastModifiedBy>
  <cp:lastPrinted>2025-08-23T02:41:41Z</cp:lastPrinted>
  <dcterms:created xsi:type="dcterms:W3CDTF">2002-07-07T11:49:09Z</dcterms:created>
  <dcterms:modified xsi:type="dcterms:W3CDTF">2026-06-29T14:21:41Z</dcterms:modified>
</cp:coreProperties>
</file>